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фінансовий звіт\2025\звіт за 2 кв.2025\"/>
    </mc:Choice>
  </mc:AlternateContent>
  <bookViews>
    <workbookView xWindow="-60" yWindow="-60" windowWidth="15480" windowHeight="11640" tabRatio="794"/>
  </bookViews>
  <sheets>
    <sheet name="Осн. фін. пок." sheetId="14" r:id="rId1"/>
    <sheet name="І. Інф. до звіт." sheetId="2" r:id="rId2"/>
    <sheet name="ІІ. Розр. з бюджетом" sheetId="19" r:id="rId3"/>
    <sheet name="ІІІ. Рух грош. коштів" sheetId="18" r:id="rId4"/>
    <sheet name="IV кап.інв. V кред." sheetId="3" r:id="rId5"/>
    <sheet name="VI-VII джер.кап.інв.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4">#N/A</definedName>
    <definedName name="_xlnm.Print_Area" localSheetId="5">'VI-VII джер.кап.інв.'!$A$1:$AF$46</definedName>
    <definedName name="_xlnm.Print_Area" localSheetId="1">#N/A</definedName>
    <definedName name="_xlnm.Print_Area" localSheetId="0">'Осн. фін. пок.'!$A$1:$I$134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3" l="1"/>
  <c r="J8" i="3"/>
  <c r="F119" i="14" l="1"/>
  <c r="D115" i="14"/>
  <c r="D114" i="14"/>
  <c r="D123" i="14" s="1"/>
  <c r="D113" i="14"/>
  <c r="E117" i="14"/>
  <c r="E116" i="14"/>
  <c r="D116" i="14"/>
  <c r="C116" i="14"/>
  <c r="H7" i="18" l="1"/>
  <c r="F7" i="18"/>
  <c r="D39" i="18"/>
  <c r="D34" i="18"/>
  <c r="D33" i="18"/>
  <c r="D30" i="18"/>
  <c r="D23" i="18"/>
  <c r="D22" i="18"/>
  <c r="D21" i="18"/>
  <c r="D19" i="18"/>
  <c r="D8" i="18"/>
  <c r="D12" i="18"/>
  <c r="D11" i="18"/>
  <c r="D111" i="2"/>
  <c r="D110" i="2"/>
  <c r="D109" i="2"/>
  <c r="D108" i="2"/>
  <c r="D107" i="2"/>
  <c r="D106" i="2"/>
  <c r="D105" i="2"/>
  <c r="D27" i="2"/>
  <c r="D88" i="2"/>
  <c r="D80" i="2"/>
  <c r="D73" i="2"/>
  <c r="D61" i="2"/>
  <c r="D46" i="2"/>
  <c r="D45" i="2"/>
  <c r="D37" i="2"/>
  <c r="D29" i="2"/>
  <c r="D10" i="19"/>
  <c r="D25" i="19"/>
  <c r="D42" i="19"/>
  <c r="D41" i="19"/>
  <c r="D33" i="19"/>
  <c r="D30" i="19"/>
  <c r="D49" i="2" l="1"/>
  <c r="D35" i="2"/>
  <c r="D48" i="2"/>
  <c r="D47" i="2"/>
  <c r="D32" i="2"/>
  <c r="D33" i="2"/>
  <c r="D31" i="2"/>
  <c r="D37" i="18"/>
  <c r="D34" i="19"/>
  <c r="D60" i="2"/>
  <c r="D59" i="2"/>
  <c r="D40" i="2"/>
  <c r="D30" i="2"/>
  <c r="F124" i="14"/>
  <c r="F123" i="14"/>
  <c r="E124" i="14"/>
  <c r="E123" i="14"/>
  <c r="D124" i="14"/>
  <c r="E91" i="14"/>
  <c r="D81" i="14"/>
  <c r="E81" i="14"/>
  <c r="D88" i="14"/>
  <c r="E88" i="14"/>
  <c r="C50" i="14"/>
  <c r="D91" i="14" l="1"/>
  <c r="C39" i="2"/>
  <c r="C124" i="14"/>
  <c r="C123" i="14"/>
  <c r="C91" i="14"/>
  <c r="C88" i="14"/>
  <c r="C81" i="14"/>
  <c r="D66" i="14" l="1"/>
  <c r="E66" i="14"/>
  <c r="F66" i="14"/>
  <c r="C66" i="14"/>
  <c r="D65" i="14"/>
  <c r="E65" i="14"/>
  <c r="F65" i="14"/>
  <c r="C65" i="14"/>
  <c r="D64" i="14"/>
  <c r="E64" i="14"/>
  <c r="F64" i="14"/>
  <c r="C64" i="14"/>
  <c r="D62" i="14"/>
  <c r="E62" i="14"/>
  <c r="F62" i="14"/>
  <c r="C62" i="14"/>
  <c r="D61" i="14"/>
  <c r="E61" i="14"/>
  <c r="F61" i="14"/>
  <c r="C61" i="14"/>
  <c r="C58" i="14"/>
  <c r="D43" i="14"/>
  <c r="E43" i="14"/>
  <c r="F43" i="14"/>
  <c r="C43" i="14"/>
  <c r="C44" i="14"/>
  <c r="G39" i="19" l="1"/>
  <c r="H39" i="19"/>
  <c r="D98" i="14" l="1"/>
  <c r="C98" i="14"/>
  <c r="C53" i="18"/>
  <c r="C50" i="18"/>
  <c r="D53" i="18"/>
  <c r="D50" i="18"/>
  <c r="E53" i="18"/>
  <c r="E50" i="18" s="1"/>
  <c r="F58" i="14"/>
  <c r="C15" i="18"/>
  <c r="D15" i="18"/>
  <c r="D7" i="18"/>
  <c r="E15" i="18"/>
  <c r="E7" i="18" s="1"/>
  <c r="C7" i="18"/>
  <c r="C118" i="14"/>
  <c r="D118" i="14"/>
  <c r="E118" i="14"/>
  <c r="F118" i="14"/>
  <c r="C117" i="14"/>
  <c r="D117" i="14"/>
  <c r="F117" i="14"/>
  <c r="F110" i="14"/>
  <c r="E110" i="14"/>
  <c r="D110" i="14"/>
  <c r="C110" i="14"/>
  <c r="F53" i="18"/>
  <c r="E101" i="14"/>
  <c r="E100" i="14"/>
  <c r="E99" i="14"/>
  <c r="E97" i="14"/>
  <c r="E96" i="14"/>
  <c r="E95" i="14"/>
  <c r="F101" i="14"/>
  <c r="F100" i="14"/>
  <c r="F99" i="14"/>
  <c r="F97" i="14"/>
  <c r="F96" i="14"/>
  <c r="F95" i="14"/>
  <c r="AA11" i="9"/>
  <c r="AA12" i="9"/>
  <c r="AB12" i="9" s="1"/>
  <c r="AA13" i="9"/>
  <c r="AA14" i="9"/>
  <c r="AA15" i="9"/>
  <c r="Z11" i="9"/>
  <c r="Z12" i="9"/>
  <c r="Z13" i="9"/>
  <c r="Z14" i="9"/>
  <c r="AC14" i="9" s="1"/>
  <c r="Z15" i="9"/>
  <c r="AC15" i="9" s="1"/>
  <c r="D43" i="19"/>
  <c r="E43" i="19"/>
  <c r="F43" i="19"/>
  <c r="D37" i="19"/>
  <c r="E37" i="19"/>
  <c r="F37" i="19"/>
  <c r="D32" i="19"/>
  <c r="E32" i="19"/>
  <c r="F32" i="19"/>
  <c r="D23" i="19"/>
  <c r="E23" i="19"/>
  <c r="F23" i="19"/>
  <c r="H23" i="19" s="1"/>
  <c r="D112" i="2"/>
  <c r="E112" i="2"/>
  <c r="F112" i="2"/>
  <c r="F74" i="2"/>
  <c r="E74" i="2"/>
  <c r="D74" i="2"/>
  <c r="D70" i="2"/>
  <c r="E70" i="2"/>
  <c r="H70" i="2" s="1"/>
  <c r="F70" i="2"/>
  <c r="D62" i="2"/>
  <c r="E62" i="2"/>
  <c r="F62" i="2"/>
  <c r="D39" i="2"/>
  <c r="E39" i="2"/>
  <c r="F39" i="2"/>
  <c r="D28" i="2"/>
  <c r="D38" i="2" s="1"/>
  <c r="E28" i="2"/>
  <c r="E38" i="2" s="1"/>
  <c r="F28" i="2"/>
  <c r="D119" i="14"/>
  <c r="E119" i="14"/>
  <c r="C119" i="14"/>
  <c r="E104" i="14"/>
  <c r="F104" i="14"/>
  <c r="F116" i="14" s="1"/>
  <c r="D58" i="14"/>
  <c r="E58" i="14"/>
  <c r="D44" i="14"/>
  <c r="E44" i="14"/>
  <c r="F44" i="14"/>
  <c r="D42" i="14"/>
  <c r="E42" i="14"/>
  <c r="F42" i="14"/>
  <c r="C42" i="14"/>
  <c r="D41" i="14"/>
  <c r="E41" i="14"/>
  <c r="F41" i="14"/>
  <c r="C41" i="14"/>
  <c r="D40" i="14"/>
  <c r="E40" i="14"/>
  <c r="F40" i="14"/>
  <c r="C40" i="14"/>
  <c r="D34" i="14"/>
  <c r="D67" i="14" s="1"/>
  <c r="E34" i="14"/>
  <c r="E67" i="14" s="1"/>
  <c r="F34" i="14"/>
  <c r="F67" i="14" s="1"/>
  <c r="C34" i="14"/>
  <c r="C67" i="14" s="1"/>
  <c r="G120" i="14"/>
  <c r="H120" i="14"/>
  <c r="G121" i="14"/>
  <c r="H121" i="14"/>
  <c r="G122" i="14"/>
  <c r="H122" i="14"/>
  <c r="N29" i="9"/>
  <c r="N30" i="9"/>
  <c r="N31" i="9"/>
  <c r="N32" i="9"/>
  <c r="N33" i="9"/>
  <c r="N34" i="9"/>
  <c r="H35" i="9"/>
  <c r="J35" i="9"/>
  <c r="L35" i="9"/>
  <c r="P35" i="9"/>
  <c r="R35" i="9"/>
  <c r="T35" i="9"/>
  <c r="F35" i="9"/>
  <c r="N28" i="9"/>
  <c r="N35" i="9" s="1"/>
  <c r="X13" i="9"/>
  <c r="Y13" i="9"/>
  <c r="X14" i="9"/>
  <c r="Y14" i="9"/>
  <c r="T13" i="9"/>
  <c r="U13" i="9"/>
  <c r="T14" i="9"/>
  <c r="U14" i="9"/>
  <c r="P13" i="9"/>
  <c r="Q13" i="9"/>
  <c r="P14" i="9"/>
  <c r="Q14" i="9"/>
  <c r="L13" i="9"/>
  <c r="M13" i="9"/>
  <c r="L14" i="9"/>
  <c r="M14" i="9"/>
  <c r="D89" i="2"/>
  <c r="E89" i="2"/>
  <c r="F89" i="2"/>
  <c r="D86" i="2"/>
  <c r="E86" i="2"/>
  <c r="F86" i="2"/>
  <c r="F100" i="2" s="1"/>
  <c r="L17" i="2"/>
  <c r="M17" i="2"/>
  <c r="N17" i="2"/>
  <c r="L18" i="2"/>
  <c r="M18" i="2"/>
  <c r="N18" i="2"/>
  <c r="G73" i="14"/>
  <c r="H73" i="14"/>
  <c r="G74" i="14"/>
  <c r="H74" i="14"/>
  <c r="G75" i="14"/>
  <c r="H75" i="14"/>
  <c r="G77" i="14"/>
  <c r="H77" i="14"/>
  <c r="G78" i="14"/>
  <c r="H78" i="14"/>
  <c r="G80" i="14"/>
  <c r="H80" i="14"/>
  <c r="G81" i="14"/>
  <c r="H81" i="14"/>
  <c r="G82" i="14"/>
  <c r="H82" i="14"/>
  <c r="G84" i="14"/>
  <c r="H84" i="14"/>
  <c r="G86" i="14"/>
  <c r="H86" i="14"/>
  <c r="G87" i="14"/>
  <c r="H87" i="14"/>
  <c r="G89" i="14"/>
  <c r="H89" i="14"/>
  <c r="G90" i="14"/>
  <c r="H90" i="14"/>
  <c r="G91" i="14"/>
  <c r="H91" i="14"/>
  <c r="H71" i="14"/>
  <c r="G71" i="14"/>
  <c r="H57" i="18"/>
  <c r="G57" i="18"/>
  <c r="F50" i="18"/>
  <c r="G12" i="18"/>
  <c r="H12" i="18"/>
  <c r="G13" i="18"/>
  <c r="H13" i="18"/>
  <c r="H35" i="2"/>
  <c r="G35" i="2"/>
  <c r="H106" i="14"/>
  <c r="H107" i="14"/>
  <c r="H108" i="14"/>
  <c r="H109" i="14"/>
  <c r="H111" i="14"/>
  <c r="H112" i="14"/>
  <c r="H113" i="14"/>
  <c r="H114" i="14"/>
  <c r="H115" i="14"/>
  <c r="G109" i="14"/>
  <c r="G111" i="14"/>
  <c r="G112" i="14"/>
  <c r="G113" i="14"/>
  <c r="G114" i="14"/>
  <c r="G115" i="14"/>
  <c r="G108" i="14"/>
  <c r="G106" i="14"/>
  <c r="G107" i="14"/>
  <c r="G105" i="14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29" i="2"/>
  <c r="H29" i="2"/>
  <c r="G30" i="2"/>
  <c r="H30" i="2"/>
  <c r="G31" i="2"/>
  <c r="H31" i="2"/>
  <c r="G32" i="2"/>
  <c r="H32" i="2"/>
  <c r="G33" i="2"/>
  <c r="H33" i="2"/>
  <c r="G34" i="2"/>
  <c r="H34" i="2"/>
  <c r="G36" i="2"/>
  <c r="H36" i="2"/>
  <c r="G37" i="2"/>
  <c r="H37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1" i="2"/>
  <c r="H71" i="2"/>
  <c r="G72" i="2"/>
  <c r="H72" i="2"/>
  <c r="G73" i="2"/>
  <c r="H73" i="2"/>
  <c r="G75" i="2"/>
  <c r="H75" i="2"/>
  <c r="G76" i="2"/>
  <c r="H76" i="2"/>
  <c r="G77" i="2"/>
  <c r="H77" i="2"/>
  <c r="G78" i="2"/>
  <c r="H78" i="2"/>
  <c r="G79" i="2"/>
  <c r="H79" i="2"/>
  <c r="G80" i="2"/>
  <c r="H80" i="2"/>
  <c r="G82" i="2"/>
  <c r="H82" i="2"/>
  <c r="G83" i="2"/>
  <c r="H83" i="2"/>
  <c r="G84" i="2"/>
  <c r="H84" i="2"/>
  <c r="G85" i="2"/>
  <c r="H85" i="2"/>
  <c r="G87" i="2"/>
  <c r="H87" i="2"/>
  <c r="G88" i="2"/>
  <c r="H88" i="2"/>
  <c r="G90" i="2"/>
  <c r="H90" i="2"/>
  <c r="G91" i="2"/>
  <c r="H91" i="2"/>
  <c r="G93" i="2"/>
  <c r="H93" i="2"/>
  <c r="G94" i="2"/>
  <c r="H94" i="2"/>
  <c r="G95" i="2"/>
  <c r="H95" i="2"/>
  <c r="G96" i="2"/>
  <c r="H96" i="2"/>
  <c r="G98" i="2"/>
  <c r="H98" i="2"/>
  <c r="G99" i="2"/>
  <c r="H99" i="2"/>
  <c r="G102" i="2"/>
  <c r="H102" i="2"/>
  <c r="F19" i="2"/>
  <c r="C19" i="2"/>
  <c r="K18" i="2"/>
  <c r="J18" i="2"/>
  <c r="I18" i="2"/>
  <c r="K17" i="2"/>
  <c r="J17" i="2"/>
  <c r="I17" i="2"/>
  <c r="N16" i="2"/>
  <c r="M16" i="2"/>
  <c r="L16" i="2"/>
  <c r="K16" i="2"/>
  <c r="J16" i="2"/>
  <c r="I16" i="2"/>
  <c r="P8" i="3"/>
  <c r="Q8" i="3"/>
  <c r="P9" i="3"/>
  <c r="Q9" i="3"/>
  <c r="P10" i="3"/>
  <c r="Q10" i="3"/>
  <c r="P11" i="3"/>
  <c r="Q11" i="3"/>
  <c r="P12" i="3"/>
  <c r="Q12" i="3"/>
  <c r="P7" i="3"/>
  <c r="L10" i="9"/>
  <c r="M10" i="9"/>
  <c r="P10" i="9"/>
  <c r="Q10" i="9"/>
  <c r="T10" i="9"/>
  <c r="U10" i="9"/>
  <c r="X10" i="9"/>
  <c r="Y10" i="9"/>
  <c r="Z10" i="9"/>
  <c r="AB10" i="9" s="1"/>
  <c r="AA10" i="9"/>
  <c r="AC10" i="9" s="1"/>
  <c r="L11" i="9"/>
  <c r="M11" i="9"/>
  <c r="P11" i="9"/>
  <c r="Q11" i="9"/>
  <c r="T11" i="9"/>
  <c r="U11" i="9"/>
  <c r="X11" i="9"/>
  <c r="Y11" i="9"/>
  <c r="L12" i="9"/>
  <c r="M12" i="9"/>
  <c r="P12" i="9"/>
  <c r="Q12" i="9"/>
  <c r="T12" i="9"/>
  <c r="U12" i="9"/>
  <c r="X12" i="9"/>
  <c r="Y12" i="9"/>
  <c r="L15" i="9"/>
  <c r="M15" i="9"/>
  <c r="P15" i="9"/>
  <c r="Q15" i="9"/>
  <c r="T15" i="9"/>
  <c r="U15" i="9"/>
  <c r="X15" i="9"/>
  <c r="Y15" i="9"/>
  <c r="J16" i="9"/>
  <c r="K16" i="9"/>
  <c r="M16" i="9" s="1"/>
  <c r="N16" i="9"/>
  <c r="O16" i="9"/>
  <c r="Q16" i="9" s="1"/>
  <c r="R16" i="9"/>
  <c r="S16" i="9"/>
  <c r="U16" i="9" s="1"/>
  <c r="V16" i="9"/>
  <c r="W16" i="9"/>
  <c r="Y16" i="9" s="1"/>
  <c r="H6" i="3"/>
  <c r="C47" i="14"/>
  <c r="I6" i="3"/>
  <c r="J6" i="3"/>
  <c r="D47" i="14" s="1"/>
  <c r="K6" i="3"/>
  <c r="L6" i="3"/>
  <c r="M6" i="3"/>
  <c r="N6" i="3"/>
  <c r="F47" i="14" s="1"/>
  <c r="O6" i="3"/>
  <c r="S6" i="3" s="1"/>
  <c r="Q6" i="3"/>
  <c r="Q7" i="3"/>
  <c r="R7" i="3"/>
  <c r="S7" i="3"/>
  <c r="R8" i="3"/>
  <c r="S8" i="3"/>
  <c r="R9" i="3"/>
  <c r="S9" i="3"/>
  <c r="R10" i="3"/>
  <c r="S10" i="3"/>
  <c r="R11" i="3"/>
  <c r="S11" i="3"/>
  <c r="R12" i="3"/>
  <c r="S12" i="3"/>
  <c r="B29" i="3"/>
  <c r="B38" i="3" s="1"/>
  <c r="R29" i="3"/>
  <c r="R38" i="3" s="1"/>
  <c r="F102" i="14" s="1"/>
  <c r="H102" i="14" s="1"/>
  <c r="S29" i="3"/>
  <c r="B30" i="3"/>
  <c r="R30" i="3"/>
  <c r="S30" i="3"/>
  <c r="Q30" i="3" s="1"/>
  <c r="B31" i="3"/>
  <c r="R31" i="3"/>
  <c r="S31" i="3"/>
  <c r="Q31" i="3" s="1"/>
  <c r="B32" i="3"/>
  <c r="R32" i="3"/>
  <c r="S32" i="3"/>
  <c r="B33" i="3"/>
  <c r="R33" i="3"/>
  <c r="S33" i="3"/>
  <c r="B34" i="3"/>
  <c r="R34" i="3"/>
  <c r="S34" i="3"/>
  <c r="Q34" i="3" s="1"/>
  <c r="B35" i="3"/>
  <c r="R35" i="3"/>
  <c r="S35" i="3"/>
  <c r="Q35" i="3" s="1"/>
  <c r="B36" i="3"/>
  <c r="R36" i="3"/>
  <c r="S36" i="3"/>
  <c r="B37" i="3"/>
  <c r="R37" i="3"/>
  <c r="S37" i="3"/>
  <c r="C38" i="3"/>
  <c r="F93" i="14" s="1"/>
  <c r="G93" i="14" s="1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G8" i="18"/>
  <c r="H8" i="18"/>
  <c r="G9" i="18"/>
  <c r="H9" i="18"/>
  <c r="G10" i="18"/>
  <c r="H10" i="18"/>
  <c r="G11" i="18"/>
  <c r="H11" i="18"/>
  <c r="G14" i="18"/>
  <c r="H14" i="18"/>
  <c r="F15" i="18"/>
  <c r="G16" i="18"/>
  <c r="H16" i="18"/>
  <c r="G17" i="18"/>
  <c r="H17" i="18"/>
  <c r="G18" i="18"/>
  <c r="H18" i="18"/>
  <c r="G19" i="18"/>
  <c r="H19" i="18"/>
  <c r="G21" i="18"/>
  <c r="H21" i="18"/>
  <c r="G22" i="18"/>
  <c r="H22" i="18"/>
  <c r="G23" i="18"/>
  <c r="H23" i="18"/>
  <c r="C24" i="18"/>
  <c r="D24" i="18"/>
  <c r="E24" i="18"/>
  <c r="F24" i="18"/>
  <c r="G24" i="18" s="1"/>
  <c r="G25" i="18"/>
  <c r="H25" i="18"/>
  <c r="G26" i="18"/>
  <c r="H26" i="18"/>
  <c r="G27" i="18"/>
  <c r="H27" i="18"/>
  <c r="G29" i="18"/>
  <c r="H29" i="18"/>
  <c r="G30" i="18"/>
  <c r="H30" i="18"/>
  <c r="G31" i="18"/>
  <c r="H31" i="18"/>
  <c r="G32" i="18"/>
  <c r="H32" i="18"/>
  <c r="G33" i="18"/>
  <c r="H33" i="18"/>
  <c r="C28" i="18"/>
  <c r="C20" i="18" s="1"/>
  <c r="C40" i="18" s="1"/>
  <c r="D28" i="18"/>
  <c r="E28" i="18"/>
  <c r="G34" i="18"/>
  <c r="G35" i="18"/>
  <c r="H35" i="18"/>
  <c r="G36" i="18"/>
  <c r="H36" i="18"/>
  <c r="G37" i="18"/>
  <c r="H37" i="18"/>
  <c r="G38" i="18"/>
  <c r="H38" i="18"/>
  <c r="G39" i="18"/>
  <c r="H39" i="18"/>
  <c r="C42" i="18"/>
  <c r="D42" i="18"/>
  <c r="D60" i="18" s="1"/>
  <c r="E42" i="18"/>
  <c r="F42" i="18"/>
  <c r="F60" i="18" s="1"/>
  <c r="G42" i="18"/>
  <c r="G43" i="18"/>
  <c r="H43" i="18"/>
  <c r="G44" i="18"/>
  <c r="H44" i="18"/>
  <c r="G45" i="18"/>
  <c r="H45" i="18"/>
  <c r="G46" i="18"/>
  <c r="H46" i="18"/>
  <c r="G47" i="18"/>
  <c r="H47" i="18"/>
  <c r="G48" i="18"/>
  <c r="H48" i="18"/>
  <c r="G49" i="18"/>
  <c r="H49" i="18"/>
  <c r="G51" i="18"/>
  <c r="H51" i="18"/>
  <c r="G52" i="18"/>
  <c r="H52" i="18"/>
  <c r="G53" i="18"/>
  <c r="H53" i="18"/>
  <c r="G54" i="18"/>
  <c r="H54" i="18"/>
  <c r="G55" i="18"/>
  <c r="H55" i="18"/>
  <c r="G56" i="18"/>
  <c r="H56" i="18"/>
  <c r="G58" i="18"/>
  <c r="H58" i="18"/>
  <c r="G59" i="18"/>
  <c r="H59" i="18"/>
  <c r="G63" i="18"/>
  <c r="H63" i="18"/>
  <c r="C64" i="18"/>
  <c r="C62" i="18"/>
  <c r="D64" i="18"/>
  <c r="D62" i="18"/>
  <c r="E64" i="18"/>
  <c r="E62" i="18"/>
  <c r="F64" i="18"/>
  <c r="F62" i="18" s="1"/>
  <c r="H64" i="18"/>
  <c r="G65" i="18"/>
  <c r="H65" i="18"/>
  <c r="G66" i="18"/>
  <c r="H66" i="18"/>
  <c r="G67" i="18"/>
  <c r="H67" i="18"/>
  <c r="G68" i="18"/>
  <c r="H68" i="18"/>
  <c r="G70" i="18"/>
  <c r="H70" i="18"/>
  <c r="C71" i="18"/>
  <c r="C69" i="18" s="1"/>
  <c r="C79" i="18" s="1"/>
  <c r="D71" i="18"/>
  <c r="D69" i="18"/>
  <c r="E71" i="18"/>
  <c r="E69" i="18" s="1"/>
  <c r="F71" i="18"/>
  <c r="F69" i="18"/>
  <c r="G72" i="18"/>
  <c r="H72" i="18"/>
  <c r="G73" i="18"/>
  <c r="H73" i="18"/>
  <c r="G74" i="18"/>
  <c r="H74" i="18"/>
  <c r="G75" i="18"/>
  <c r="H75" i="18"/>
  <c r="G76" i="18"/>
  <c r="H76" i="18"/>
  <c r="G77" i="18"/>
  <c r="H77" i="18"/>
  <c r="G78" i="18"/>
  <c r="H78" i="18"/>
  <c r="G81" i="18"/>
  <c r="H81" i="18"/>
  <c r="G82" i="18"/>
  <c r="H82" i="18"/>
  <c r="G8" i="19"/>
  <c r="H8" i="19"/>
  <c r="G9" i="19"/>
  <c r="H9" i="19"/>
  <c r="C10" i="19"/>
  <c r="E10" i="19"/>
  <c r="F10" i="19"/>
  <c r="C11" i="19"/>
  <c r="D11" i="19"/>
  <c r="E11" i="19"/>
  <c r="F11" i="19"/>
  <c r="G12" i="19"/>
  <c r="H12" i="19"/>
  <c r="G13" i="19"/>
  <c r="H13" i="19"/>
  <c r="G14" i="19"/>
  <c r="H14" i="19"/>
  <c r="G15" i="19"/>
  <c r="H15" i="19"/>
  <c r="G16" i="19"/>
  <c r="H16" i="19"/>
  <c r="G17" i="19"/>
  <c r="H17" i="19"/>
  <c r="G18" i="19"/>
  <c r="H18" i="19"/>
  <c r="G19" i="19"/>
  <c r="H19" i="19"/>
  <c r="G20" i="19"/>
  <c r="H20" i="19"/>
  <c r="C23" i="19"/>
  <c r="G24" i="19"/>
  <c r="H24" i="19"/>
  <c r="G25" i="19"/>
  <c r="H25" i="19"/>
  <c r="G26" i="19"/>
  <c r="H26" i="19"/>
  <c r="G27" i="19"/>
  <c r="H27" i="19"/>
  <c r="G28" i="19"/>
  <c r="H28" i="19"/>
  <c r="G29" i="19"/>
  <c r="H29" i="19"/>
  <c r="G30" i="19"/>
  <c r="H30" i="19"/>
  <c r="G31" i="19"/>
  <c r="H31" i="19"/>
  <c r="C32" i="19"/>
  <c r="G33" i="19"/>
  <c r="H33" i="19"/>
  <c r="G34" i="19"/>
  <c r="H34" i="19"/>
  <c r="G35" i="19"/>
  <c r="H35" i="19"/>
  <c r="G36" i="19"/>
  <c r="H36" i="19"/>
  <c r="C37" i="19"/>
  <c r="G37" i="19"/>
  <c r="G40" i="19"/>
  <c r="H40" i="19"/>
  <c r="G41" i="19"/>
  <c r="H41" i="19"/>
  <c r="G42" i="19"/>
  <c r="H42" i="19"/>
  <c r="C43" i="19"/>
  <c r="H43" i="19"/>
  <c r="G44" i="19"/>
  <c r="H44" i="19"/>
  <c r="G45" i="19"/>
  <c r="H45" i="19"/>
  <c r="G27" i="2"/>
  <c r="H27" i="2"/>
  <c r="C28" i="2"/>
  <c r="C62" i="2"/>
  <c r="C70" i="2"/>
  <c r="C74" i="2"/>
  <c r="C86" i="2"/>
  <c r="C89" i="2"/>
  <c r="C112" i="2"/>
  <c r="C72" i="14"/>
  <c r="D72" i="14"/>
  <c r="E72" i="14"/>
  <c r="H88" i="14"/>
  <c r="G88" i="14"/>
  <c r="C94" i="14"/>
  <c r="D94" i="14"/>
  <c r="H105" i="14"/>
  <c r="C104" i="14"/>
  <c r="F28" i="18"/>
  <c r="AB13" i="9"/>
  <c r="G43" i="19"/>
  <c r="AC13" i="9"/>
  <c r="H34" i="18"/>
  <c r="H37" i="19"/>
  <c r="G28" i="2"/>
  <c r="AB14" i="9"/>
  <c r="H15" i="18"/>
  <c r="L19" i="2" l="1"/>
  <c r="H104" i="14"/>
  <c r="D20" i="18"/>
  <c r="D40" i="18" s="1"/>
  <c r="D80" i="18" s="1"/>
  <c r="D83" i="18" s="1"/>
  <c r="H28" i="18"/>
  <c r="F20" i="18"/>
  <c r="G20" i="18" s="1"/>
  <c r="H42" i="18"/>
  <c r="F38" i="2"/>
  <c r="H38" i="2" s="1"/>
  <c r="G28" i="18"/>
  <c r="G32" i="19"/>
  <c r="AB11" i="9"/>
  <c r="AC11" i="9"/>
  <c r="R6" i="3"/>
  <c r="D35" i="14"/>
  <c r="D68" i="14" s="1"/>
  <c r="F35" i="14"/>
  <c r="F68" i="14" s="1"/>
  <c r="D100" i="2"/>
  <c r="P6" i="3"/>
  <c r="E47" i="14"/>
  <c r="H47" i="14" s="1"/>
  <c r="E20" i="18"/>
  <c r="H112" i="2"/>
  <c r="H74" i="2"/>
  <c r="G39" i="2"/>
  <c r="H28" i="2"/>
  <c r="E35" i="14"/>
  <c r="E68" i="14" s="1"/>
  <c r="G104" i="14"/>
  <c r="C101" i="2"/>
  <c r="C35" i="14"/>
  <c r="C68" i="14" s="1"/>
  <c r="H62" i="18"/>
  <c r="F79" i="18"/>
  <c r="G62" i="18"/>
  <c r="E40" i="18"/>
  <c r="H69" i="18"/>
  <c r="E79" i="18"/>
  <c r="G69" i="18"/>
  <c r="E60" i="18"/>
  <c r="H60" i="18" s="1"/>
  <c r="H50" i="18"/>
  <c r="AC12" i="9"/>
  <c r="G71" i="18"/>
  <c r="AB15" i="9"/>
  <c r="AB16" i="9" s="1"/>
  <c r="Z16" i="9"/>
  <c r="V17" i="9" s="1"/>
  <c r="C60" i="18"/>
  <c r="E100" i="2"/>
  <c r="G100" i="2" s="1"/>
  <c r="G62" i="2"/>
  <c r="E46" i="19"/>
  <c r="E45" i="14" s="1"/>
  <c r="G7" i="18"/>
  <c r="C38" i="2"/>
  <c r="C81" i="2" s="1"/>
  <c r="H32" i="19"/>
  <c r="G23" i="19"/>
  <c r="G64" i="18"/>
  <c r="H71" i="18"/>
  <c r="Q36" i="3"/>
  <c r="G50" i="18"/>
  <c r="G112" i="2"/>
  <c r="E81" i="2"/>
  <c r="E103" i="2" s="1"/>
  <c r="E37" i="14" s="1"/>
  <c r="D81" i="2"/>
  <c r="D103" i="2" s="1"/>
  <c r="D37" i="14" s="1"/>
  <c r="D53" i="14" s="1"/>
  <c r="G15" i="18"/>
  <c r="G70" i="2"/>
  <c r="I19" i="2"/>
  <c r="D79" i="18"/>
  <c r="F81" i="2"/>
  <c r="F92" i="2" s="1"/>
  <c r="G86" i="2"/>
  <c r="G11" i="19"/>
  <c r="G10" i="19"/>
  <c r="H24" i="18"/>
  <c r="Q37" i="3"/>
  <c r="Q33" i="3"/>
  <c r="Q29" i="3"/>
  <c r="AA16" i="9"/>
  <c r="W17" i="9" s="1"/>
  <c r="H86" i="2"/>
  <c r="H89" i="2"/>
  <c r="F46" i="19"/>
  <c r="H10" i="19"/>
  <c r="H11" i="19"/>
  <c r="D46" i="19"/>
  <c r="D45" i="14" s="1"/>
  <c r="F101" i="2"/>
  <c r="H62" i="2"/>
  <c r="G74" i="2"/>
  <c r="D101" i="2"/>
  <c r="E101" i="2"/>
  <c r="G89" i="2"/>
  <c r="H39" i="2"/>
  <c r="C100" i="2"/>
  <c r="F36" i="14"/>
  <c r="H118" i="14"/>
  <c r="H124" i="14"/>
  <c r="H34" i="14"/>
  <c r="G118" i="14"/>
  <c r="G124" i="14"/>
  <c r="H40" i="14"/>
  <c r="H99" i="14"/>
  <c r="G96" i="14"/>
  <c r="H110" i="14"/>
  <c r="H93" i="14"/>
  <c r="G101" i="14"/>
  <c r="H42" i="14"/>
  <c r="G43" i="14"/>
  <c r="H44" i="14"/>
  <c r="G119" i="14"/>
  <c r="F94" i="14"/>
  <c r="G100" i="14"/>
  <c r="G72" i="14"/>
  <c r="G117" i="14"/>
  <c r="H123" i="14"/>
  <c r="G41" i="14"/>
  <c r="G95" i="14"/>
  <c r="H100" i="14"/>
  <c r="G47" i="14"/>
  <c r="G42" i="14"/>
  <c r="H95" i="14"/>
  <c r="C36" i="14"/>
  <c r="G44" i="14"/>
  <c r="G97" i="14"/>
  <c r="G99" i="14"/>
  <c r="G40" i="14"/>
  <c r="H43" i="14"/>
  <c r="H96" i="14"/>
  <c r="E98" i="14"/>
  <c r="H101" i="14"/>
  <c r="G102" i="14"/>
  <c r="E94" i="14"/>
  <c r="H41" i="14"/>
  <c r="H97" i="14"/>
  <c r="G123" i="14"/>
  <c r="H117" i="14"/>
  <c r="H119" i="14"/>
  <c r="F98" i="14"/>
  <c r="G110" i="14"/>
  <c r="G34" i="14"/>
  <c r="H72" i="14"/>
  <c r="C46" i="19"/>
  <c r="C45" i="14" s="1"/>
  <c r="C80" i="18"/>
  <c r="C83" i="18" s="1"/>
  <c r="S38" i="3"/>
  <c r="Q32" i="3"/>
  <c r="Q38" i="3" s="1"/>
  <c r="T16" i="9"/>
  <c r="L16" i="9"/>
  <c r="X16" i="9"/>
  <c r="P16" i="9"/>
  <c r="D36" i="14" l="1"/>
  <c r="G38" i="2"/>
  <c r="H20" i="18"/>
  <c r="F40" i="18"/>
  <c r="H40" i="18" s="1"/>
  <c r="D51" i="14"/>
  <c r="D92" i="2"/>
  <c r="D97" i="2" s="1"/>
  <c r="E80" i="18"/>
  <c r="E83" i="18" s="1"/>
  <c r="G60" i="18"/>
  <c r="G35" i="14"/>
  <c r="E36" i="14"/>
  <c r="G36" i="14" s="1"/>
  <c r="H35" i="14"/>
  <c r="H100" i="2"/>
  <c r="E92" i="2"/>
  <c r="E97" i="2" s="1"/>
  <c r="E7" i="19" s="1"/>
  <c r="E21" i="19" s="1"/>
  <c r="O17" i="9"/>
  <c r="C51" i="14"/>
  <c r="C103" i="2"/>
  <c r="C37" i="14" s="1"/>
  <c r="G81" i="2"/>
  <c r="H81" i="2"/>
  <c r="E51" i="14"/>
  <c r="C92" i="2"/>
  <c r="C97" i="2" s="1"/>
  <c r="C7" i="19" s="1"/>
  <c r="C21" i="19" s="1"/>
  <c r="D60" i="14"/>
  <c r="D59" i="14"/>
  <c r="R17" i="9"/>
  <c r="N17" i="9"/>
  <c r="J17" i="9"/>
  <c r="Z17" i="9" s="1"/>
  <c r="G79" i="18"/>
  <c r="H79" i="18"/>
  <c r="K17" i="9"/>
  <c r="S17" i="9"/>
  <c r="AC16" i="9"/>
  <c r="F51" i="14"/>
  <c r="F103" i="2"/>
  <c r="E59" i="14"/>
  <c r="E60" i="14"/>
  <c r="E53" i="14"/>
  <c r="H46" i="19"/>
  <c r="F45" i="14"/>
  <c r="G46" i="19"/>
  <c r="F97" i="2"/>
  <c r="G101" i="2"/>
  <c r="H101" i="2"/>
  <c r="G116" i="14"/>
  <c r="H94" i="14"/>
  <c r="H36" i="14"/>
  <c r="G94" i="14"/>
  <c r="H116" i="14"/>
  <c r="G98" i="14"/>
  <c r="H98" i="14"/>
  <c r="G40" i="18" l="1"/>
  <c r="F80" i="18"/>
  <c r="F83" i="18" s="1"/>
  <c r="D38" i="14"/>
  <c r="D50" i="14" s="1"/>
  <c r="D7" i="19"/>
  <c r="D21" i="19"/>
  <c r="AA17" i="9"/>
  <c r="H92" i="2"/>
  <c r="G92" i="2"/>
  <c r="E38" i="14"/>
  <c r="E50" i="14" s="1"/>
  <c r="C38" i="14"/>
  <c r="C55" i="14" s="1"/>
  <c r="G103" i="2"/>
  <c r="H103" i="2"/>
  <c r="F37" i="14"/>
  <c r="C60" i="14"/>
  <c r="C53" i="14"/>
  <c r="C59" i="14"/>
  <c r="C54" i="14"/>
  <c r="G45" i="14"/>
  <c r="H45" i="14"/>
  <c r="F7" i="19"/>
  <c r="H97" i="2"/>
  <c r="F38" i="14"/>
  <c r="G97" i="2"/>
  <c r="D54" i="14"/>
  <c r="D55" i="14"/>
  <c r="H80" i="18" l="1"/>
  <c r="G80" i="18"/>
  <c r="E54" i="14"/>
  <c r="E55" i="14"/>
  <c r="F54" i="14"/>
  <c r="F50" i="14"/>
  <c r="F55" i="14"/>
  <c r="G83" i="18"/>
  <c r="H83" i="18"/>
  <c r="F59" i="14"/>
  <c r="F53" i="14"/>
  <c r="F60" i="14"/>
  <c r="G37" i="14"/>
  <c r="H37" i="14"/>
  <c r="H7" i="19"/>
  <c r="F21" i="19"/>
  <c r="G7" i="19"/>
  <c r="H38" i="14"/>
  <c r="G38" i="14"/>
  <c r="G21" i="19" l="1"/>
  <c r="H21" i="19"/>
</calcChain>
</file>

<file path=xl/sharedStrings.xml><?xml version="1.0" encoding="utf-8"?>
<sst xmlns="http://schemas.openxmlformats.org/spreadsheetml/2006/main" count="991" uniqueCount="444">
  <si>
    <t>Код</t>
  </si>
  <si>
    <t>Внесені зміни до затвердженного фінансового плану (дата)</t>
  </si>
  <si>
    <t xml:space="preserve">Підприємство  </t>
  </si>
  <si>
    <t xml:space="preserve">за ЄДРПОУ </t>
  </si>
  <si>
    <t xml:space="preserve">зміни  з </t>
  </si>
  <si>
    <t xml:space="preserve">Організаційно-правова форма </t>
  </si>
  <si>
    <t>за КОПФГ</t>
  </si>
  <si>
    <r>
      <t xml:space="preserve">Суб'єкт управління </t>
    </r>
    <r>
      <rPr>
        <b/>
        <i/>
        <sz val="14"/>
        <rFont val="Times New Roman"/>
        <family val="1"/>
        <charset val="204"/>
      </rPr>
      <t xml:space="preserve"> </t>
    </r>
  </si>
  <si>
    <t>за СПОДУ</t>
  </si>
  <si>
    <t xml:space="preserve">Вид економічної діяльності    </t>
  </si>
  <si>
    <t xml:space="preserve">за  КВЕД  </t>
  </si>
  <si>
    <t xml:space="preserve">Галузь    </t>
  </si>
  <si>
    <t>Одиниця виміру, тис. грн</t>
  </si>
  <si>
    <t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</si>
  <si>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</si>
  <si>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</si>
  <si>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</si>
  <si>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</si>
  <si>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 </t>
  </si>
  <si>
    <t>Стандарти звітності МСФЗ</t>
  </si>
  <si>
    <t>ЗВІТ</t>
  </si>
  <si>
    <t xml:space="preserve">про виконання фінансового плану </t>
  </si>
  <si>
    <t>(квартал, рік)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</si>
  <si>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</si>
  <si>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</si>
  <si>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</si>
  <si>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</si>
  <si>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(квартал, рік)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</si>
  <si>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</si>
  <si>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</si>
  <si>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</si>
  <si>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</si>
  <si>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</si>
  <si>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</si>
  <si>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</si>
  <si>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</si>
  <si>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</si>
  <si>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</si>
  <si>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</si>
  <si>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</si>
  <si>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</si>
  <si>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</si>
  <si>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</si>
  <si>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</si>
  <si>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</si>
  <si>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</si>
  <si>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</si>
  <si>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ІІІ. Капітальні інвестиції</t>
  </si>
  <si>
    <t>Капітальні інвестиції</t>
  </si>
  <si>
    <t>ІV. Коефіцієнтний аналіз</t>
  </si>
  <si>
    <t>x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</si>
  <si>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</si>
  <si>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</si>
  <si>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</si>
  <si>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</si>
  <si>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</si>
  <si>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</si>
  <si>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</si>
  <si>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</si>
  <si>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</si>
  <si>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</si>
  <si>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</si>
  <si>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</si>
  <si>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</si>
  <si>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</si>
  <si>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</si>
  <si>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</si>
  <si>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</si>
  <si>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</si>
  <si>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</si>
  <si>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</si>
  <si>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</si>
  <si>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</si>
  <si>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</si>
  <si>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</si>
  <si>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</si>
  <si>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</si>
  <si>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</si>
  <si>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</si>
  <si>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</si>
  <si>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</si>
  <si>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</si>
  <si>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</si>
  <si>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</si>
  <si>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</si>
  <si>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</si>
  <si>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</si>
  <si>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</si>
  <si>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</si>
  <si>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</si>
  <si>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</si>
  <si>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</si>
  <si>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</si>
  <si>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</si>
  <si>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</si>
  <si>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</si>
  <si>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</si>
  <si>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</si>
  <si>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</si>
  <si>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</si>
  <si>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</si>
  <si>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</si>
  <si>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</si>
  <si>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</si>
  <si>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</si>
  <si>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</si>
  <si>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</si>
  <si>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</si>
  <si>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</si>
  <si>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</si>
  <si>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</si>
  <si>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</si>
  <si>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</si>
  <si>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</si>
  <si>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</si>
  <si>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</si>
  <si>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</si>
  <si>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</si>
  <si>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</si>
  <si>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</si>
  <si>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</si>
  <si>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* при розрахунку середьомісячних витрат на оплату праці необхідне корегування формул залежно від звітного періоду (квартал, півріччя, 9 місяців), що потребує відповідно ділення на кількість місяців у звітному періоді</t>
  </si>
  <si>
    <t>_____________________________</t>
  </si>
  <si>
    <t>(підпис)</t>
  </si>
  <si>
    <t>І. Інформація</t>
  </si>
  <si>
    <t>1. Перелік підприємств, які включені до консолідованого (зведеного) звіту</t>
  </si>
  <si>
    <t>Код за ЄДРПОУ</t>
  </si>
  <si>
    <t>Найменування підприємства</t>
  </si>
  <si>
    <t>Вид діяльності</t>
  </si>
  <si>
    <t>2. Інформація про бізнес підприємства (код рядка 1000 звіту)</t>
  </si>
  <si>
    <t>Найменування видів діяльності за КВЕД</t>
  </si>
  <si>
    <t>План</t>
  </si>
  <si>
    <t>Факт</t>
  </si>
  <si>
    <t>Відхилення, 
 +/–</t>
  </si>
  <si>
    <t>Виконання, 
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</si>
  <si>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</si>
  <si>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</si>
  <si>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</si>
  <si>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</si>
  <si>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</si>
  <si>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зміна ціни одиниці  (вартості продукції/     наданих послуг)</t>
  </si>
  <si>
    <t>Усього</t>
  </si>
  <si>
    <t>3. Формування фінансових результатів</t>
  </si>
  <si>
    <t xml:space="preserve">Код
 рядка </t>
  </si>
  <si>
    <t>Факт наростаючим підсумком
з початку року</t>
  </si>
  <si>
    <t>Звітний період
 (квартал, рік)</t>
  </si>
  <si>
    <t>минулий
рік</t>
  </si>
  <si>
    <t>поточний
 рік</t>
  </si>
  <si>
    <t>виконання,
 %</t>
  </si>
  <si>
    <t xml:space="preserve">пояснення та обґрунтування відхилення від запланованого рівня доходів/витрат                               </t>
  </si>
  <si>
    <t>Доходи і витрати (деталізація)</t>
  </si>
  <si>
    <t>Витрати на сировину та основні матеріали</t>
  </si>
  <si>
    <t>(    )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</si>
  <si>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</si>
  <si>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</si>
  <si>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</si>
  <si>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</si>
  <si>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</si>
  <si>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Рентна плата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</si>
  <si>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</si>
  <si>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</si>
  <si>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</si>
  <si>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</si>
  <si>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</si>
  <si>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</si>
  <si>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</si>
  <si>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</si>
  <si>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</si>
  <si>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</si>
  <si>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</si>
  <si>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</si>
  <si>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</si>
  <si>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</si>
  <si>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</si>
  <si>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</si>
  <si>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</si>
  <si>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</si>
  <si>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</si>
  <si>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</si>
  <si>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</si>
  <si>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</si>
  <si>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</si>
  <si>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</si>
  <si>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</si>
  <si>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</si>
  <si>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</si>
  <si>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</si>
  <si>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</si>
  <si>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</si>
  <si>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</si>
  <si>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</si>
  <si>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</si>
  <si>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</si>
  <si>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витрати, усього, у тому числі:</t>
  </si>
  <si>
    <t>нетипові операційні витрати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</si>
  <si>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</si>
  <si>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</si>
  <si>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</si>
  <si>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</si>
  <si>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</si>
  <si>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</si>
  <si>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</si>
  <si>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</si>
  <si>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</si>
  <si>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</si>
  <si>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</si>
  <si>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</si>
  <si>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</si>
  <si>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</si>
  <si>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</si>
  <si>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</si>
  <si>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</si>
  <si>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</si>
  <si>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</si>
  <si>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</si>
  <si>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</si>
  <si>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</si>
  <si>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</si>
  <si>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</si>
  <si>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</si>
  <si>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</si>
  <si>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</si>
  <si>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</si>
  <si>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__________________________</t>
  </si>
  <si>
    <t xml:space="preserve">                   (підпис)</t>
  </si>
  <si>
    <t>IІ.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</si>
  <si>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</si>
  <si>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</si>
  <si>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</si>
  <si>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</si>
  <si>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</si>
  <si>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</si>
  <si>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</si>
  <si>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</si>
  <si>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</si>
  <si>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</si>
  <si>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</si>
  <si>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</si>
  <si>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</si>
  <si>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</si>
  <si>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</si>
  <si>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</si>
  <si>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</si>
  <si>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</si>
  <si>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</si>
  <si>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</si>
  <si>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</si>
  <si>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</si>
  <si>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</si>
  <si>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</si>
  <si>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</si>
  <si>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</si>
  <si>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</si>
  <si>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</si>
  <si>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</si>
  <si>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</si>
  <si>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</si>
  <si>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</si>
  <si>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</si>
  <si>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</si>
  <si>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(підпис)</t>
  </si>
  <si>
    <t>ІІІ. Рух грошових коштів (за прямим методом)</t>
  </si>
  <si>
    <t>Код рядка</t>
  </si>
  <si>
    <t>Факт наростаючим підсумком 
з початку року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</si>
  <si>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</si>
  <si>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</si>
  <si>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</si>
  <si>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</si>
  <si>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</si>
  <si>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</si>
  <si>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</si>
  <si>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(розшифрувати)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</si>
  <si>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</si>
  <si>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</si>
  <si>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</si>
  <si>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</si>
  <si>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</si>
  <si>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</si>
  <si>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</si>
  <si>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</si>
  <si>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</si>
  <si>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</si>
  <si>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</si>
  <si>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</si>
  <si>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</si>
  <si>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>3156/1</t>
  </si>
  <si>
    <t>3156/2</t>
  </si>
  <si>
    <t>Повернення коштів до бюджету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</si>
  <si>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</si>
  <si>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</si>
  <si>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</si>
  <si>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</si>
  <si>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</si>
  <si>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</si>
  <si>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</si>
  <si>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</si>
  <si>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</si>
  <si>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</si>
  <si>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</si>
  <si>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</si>
  <si>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</si>
  <si>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</si>
  <si>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</si>
  <si>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</si>
  <si>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</si>
  <si>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</si>
  <si>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</si>
  <si>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</si>
  <si>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</si>
  <si>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</si>
  <si>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</si>
  <si>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</si>
  <si>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</si>
  <si>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</si>
  <si>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</si>
  <si>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</si>
  <si>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</si>
  <si>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</si>
  <si>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</si>
  <si>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</si>
  <si>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</si>
  <si>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</si>
  <si>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</si>
  <si>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IV. Капітальні інвестиції </t>
  </si>
  <si>
    <t>Капітальні інвестиції, усього, 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</si>
  <si>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</si>
  <si>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</si>
  <si>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</si>
  <si>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</si>
  <si>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</si>
  <si>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</si>
  <si>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</si>
  <si>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</si>
  <si>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</si>
  <si>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</si>
  <si>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</si>
  <si>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Отримано залучених коштів за звітний період</t>
  </si>
  <si>
    <t>Повернено залучених коштів за звітний період</t>
  </si>
  <si>
    <t>Заборгованість за кредитами на кінець ______ року</t>
  </si>
  <si>
    <t>у тому числі:</t>
  </si>
  <si>
    <t>план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</si>
  <si>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</si>
  <si>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</si>
  <si>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</si>
  <si>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</si>
  <si>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</si>
  <si>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</si>
  <si>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</si>
  <si>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</si>
  <si>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</si>
  <si>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</si>
  <si>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тис. грн (без ПДВ)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</si>
  <si>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</si>
  <si>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</si>
  <si>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</si>
  <si>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</si>
  <si>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</si>
  <si>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 xml:space="preserve">капітальне будівництво 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</si>
  <si>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</si>
  <si>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</si>
  <si>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</si>
  <si>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</si>
  <si>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</si>
  <si>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</si>
  <si>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</si>
  <si>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</si>
  <si>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</si>
  <si>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</si>
  <si>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</si>
  <si>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</si>
  <si>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</si>
  <si>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</si>
  <si>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</si>
  <si>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</si>
  <si>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</si>
  <si>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__________________________________________________</t>
  </si>
  <si>
    <t>Додаток</t>
  </si>
  <si>
    <t>до Методичних рекомендацій</t>
  </si>
  <si>
    <t>щодо розроблення фінансового плану суб'єкта</t>
  </si>
  <si>
    <t>господарювання державного сектору економіки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</si>
  <si>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</si>
  <si>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Коефіцієнти рентабельності</t>
  </si>
  <si>
    <t>Коефіцієнти платоспроможності</t>
  </si>
  <si>
    <t>Коефіцієнт рентабельності активів                                                            (чистий фінансовий результат, рядок 1200 / сукупні активи, рядок 6020)</t>
  </si>
  <si>
    <t>Коефіцієнт зростання доходів                                                                 (((чистий дохід від реалізації продукції (товарів, робіт, послуг) планового/звітного періоду, рядок 1000 - чистий дохід від реалізації продукції (товарів, робіт, послуг) попереднього планового/звітного періоду, рядок 1000) / чистий дохід від реалізації продукції (товарів, робіт, послуг) попереднього планового/звітного періоду, рядок 1000) мінус індекс споживчих цін планового/звітного періоду)</t>
  </si>
  <si>
    <t>Коефіцієнт рентабельності EBITDA                                               (EBITDA, рядок 1300 / чистий дохід від реалізації продукції (товарів, робіт, послуг), рядок 1000)</t>
  </si>
  <si>
    <t>Коефіцієнт рентабельності власного капіталу                                   (чистий фінансовий результат, рядок 1200 / власний капітал, рядок 6080)</t>
  </si>
  <si>
    <t>Коефіцієнт зростання операційних витрат                                     (((операційні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планового/звітного періоду) - 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попереднього планового/звітного періоду)) / (операційні витрати (собівартість реалізованої продукції (товарів, робіт, послуг)+адміністративні витрати+витрати на збут+інші операційні витрати) попереднього планового/звітного періоду, сума рядків 1010, 1030, 1060, 1080) мінус  індекс споживчих цін планового/звітного періоду)</t>
  </si>
  <si>
    <t>Коефіцієнт рентабельності операційних витрат                            (фінансовий результат від операційної діяльності, рядок 1100 / 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1080)</t>
  </si>
  <si>
    <t>Коефіцієнт покриття EBITDA фінансових витрат                                                   (EBITDA, рядок 1300 / фінансові витрати, рядок 1140)</t>
  </si>
  <si>
    <t>Коефіцієнт відношення боргу до EBITDA                                                          ((фінансові зобов'язання (короткострокові кредити банків, рядок 6041 + довгострокові кредити банків, рядок 6031) - (гроші та їх еквіваленти, рядок 6015 + поточні фінансові інвестиції, рядок 6014)) / EBITDA, рядок 1300)</t>
  </si>
  <si>
    <t>Коефіцієнт відношення боргу до власного капіталу                                   (фінансові зобов'язання (короткострокові кредити банків, рядок 6041 + довгострокові кредити банків, рядок 6031) / власний капітал, рядок 6080)</t>
  </si>
  <si>
    <t>Коефіцієнт відношення боргу до активів                                                   ((довгострокові зобов'язання і забезпечення, рядок 6030 + поточні зобов'язання і забезпечення, рядок 6040) / сукупні активи, рядок 6020)</t>
  </si>
  <si>
    <t>Коефіцієнти ліквідності</t>
  </si>
  <si>
    <t>Коефіцієнт поточної ліквідності                                                        (оборотні активи, рядок 6010 / поточні зобов'язання і забезпечення, рядок 6040)</t>
  </si>
  <si>
    <t>Коефіцієнт швидкої ліквідності                                                              ((оборотні активи, рядок 6010 - запаси, рядок 6011) / поточні зобов'язання і забезпечення, рядок 6040)</t>
  </si>
  <si>
    <t>Коефіцієнт абсолютної ліквідності
((гроші та їх еквіваленти, рядок 6015 + поточні фінансові інвестиції, рядок 6014) / поточні зобов'язання і забезпечення, рядок 6040)</t>
  </si>
  <si>
    <t>Період обороту дебіторської заборгованості                                                          (дебіторська заборгованість за продукцію, товари, роботи, послуги, рядок 6012 *365 / чистий дохід від реалізації продукції (товарів, робіт, послуг), рядок 1000)</t>
  </si>
  <si>
    <t>Період обороту кредиторської заборгованості
(поточна кредиторська заборгованість за продукцію, товари, роботи, послуги, рядок 6042 *365 / собівартість реалізованої продукції (товарів, робіт, послуг), рядок 1010)</t>
  </si>
  <si>
    <t>Довідково: індекс споживчих цін грудень до грудня попереднього року, відсотків</t>
  </si>
  <si>
    <t>запаси</t>
  </si>
  <si>
    <t>поточні фінансові інвестиції</t>
  </si>
  <si>
    <t>Довгострокові зобов'язання і забезпечення, у тому числі:</t>
  </si>
  <si>
    <t>довгострокові кредити банків</t>
  </si>
  <si>
    <t>короткострокові кредити банків</t>
  </si>
  <si>
    <t>7020</t>
  </si>
  <si>
    <t>відрахування частини чистого прибутку державними унітарними підприємствами та їх обєднаннями</t>
  </si>
  <si>
    <t>Комунальне некомерційне підприємство "Ніжинська міська стоматологічна поліклініка" Ніжинської міської ради Чернігівської області</t>
  </si>
  <si>
    <t>Комунальне некомерційне підприємство</t>
  </si>
  <si>
    <t>Ніжинська міська рада</t>
  </si>
  <si>
    <t>Стоматологічна практика</t>
  </si>
  <si>
    <t>Охорона здоров’я</t>
  </si>
  <si>
    <t>16600, Чернігівська область, м. Ніжин, вул. Батюка, 7</t>
  </si>
  <si>
    <t>(04631)71898</t>
  </si>
  <si>
    <t>Ігнатюк Олександр Борисович</t>
  </si>
  <si>
    <t>05480631</t>
  </si>
  <si>
    <t>86.23</t>
  </si>
  <si>
    <t>за  2 квартал 2025 року</t>
  </si>
  <si>
    <t>до звіту про виконання фінансового плану заза  2 квартал 2025 року</t>
  </si>
  <si>
    <t>КНП "Ніжинська міська стоматологічна поліклініка" Ніжинської міської ради Чернігівської області</t>
  </si>
  <si>
    <t>Інші витрати (СЕС, пільгова пенсія)</t>
  </si>
  <si>
    <t>інші операційні доходи (0212100 та 0217520, благодійна допомога)</t>
  </si>
  <si>
    <t>інші доходи (доходи майбутніх періодів)</t>
  </si>
  <si>
    <t>інші податки, збори та платежі (військовий збір)</t>
  </si>
  <si>
    <t xml:space="preserve">Інші надходження (ФСС) </t>
  </si>
  <si>
    <t>інші платежі (земельний податок)</t>
  </si>
  <si>
    <t xml:space="preserve">інші зобов’язання з податків і зборів, у тому числі: (військовий збір)
 </t>
  </si>
  <si>
    <t xml:space="preserve">Інші надходження (місцевий бюджет) </t>
  </si>
  <si>
    <t>Інші платежі (придбання ОЗ за рахунок міц.бюдж.)</t>
  </si>
  <si>
    <t>придбання (виготовлення) основних засобів (паровий стерилізатор -410,4 тис.грн.(місцевий бюджет), інжекційна машина -52,0 тис.грн., компресор стоматологічний - 36,9 тис.грн.(власні кошти), Автомобіль MERCEDES-BENZ - 505,6 тис.грн.(благодійна допомога))</t>
  </si>
  <si>
    <t>придбання (виготовлення) інших необоротних матеріальних активів(Стіл виробничий з мийною ванною- 9,3 тис.грн., стіл-тумба-12 тис.грн, стіл виробничий-5,2 тис.грн., Принтер - 9 тис.грн., мишка - 0,5 тис.грн., ноутбук - 18 тис.грн., кондиціонер(2шт)-36,0 тис.грн., бормашина портативна(3шт.) - 35,1 тис.грн., скалер(3шт)-31,5 тис.грн.</t>
  </si>
  <si>
    <t>Олександр ІГНАТЮК</t>
  </si>
  <si>
    <t>86.23 Стоматологінча практика</t>
  </si>
  <si>
    <t>На підприємстві застосовується відрядна форма оплата праці для основного виробоничого медичного персоналу (згідно Колективного договору). Тому при збільшенні/зменшенні пацієнтопотоку пропорційно зростає/зменшується виробіток і, відповідно, заробітна плата</t>
  </si>
  <si>
    <t>Проводилась закупівля основних матеріалів, в тому числі медикаменти та перев’язувальні матеріали  за рахунок власних коштів</t>
  </si>
  <si>
    <t>Закуплено МНМА за рахунок власних коштів. Відображено знос</t>
  </si>
  <si>
    <t>інші операційні витрати (РКО, лікарняні за рах. ФЗП, ПДВ)</t>
  </si>
  <si>
    <t>Директор</t>
  </si>
  <si>
    <t>Інші витрачання (ФСС,РКО,реєстрація транспортного засобу)</t>
  </si>
  <si>
    <t>Інші джерела (благодійна допомога)</t>
  </si>
  <si>
    <t>Доходи від безоплатно одержаних необоротних активів</t>
  </si>
  <si>
    <t>пропорційно фонду заробітної плати</t>
  </si>
  <si>
    <t>в звязку з відпусткою ливарника, роботи з лиття та покриття виконувалися в чернігівський міскій стоматологічній поліклініці</t>
  </si>
  <si>
    <t>збільшення за рахунок відпусток майбутніх періодів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</si>
</sst>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_);_(* \(#,##0\);_(* &quot;-&quot;??_);_(@_)"/>
    <numFmt numFmtId="178" formatCode="_(* #,##0.0_);_(* \(#,##0.0\);_(* &quot;-&quot;??_);_(@_)"/>
    <numFmt numFmtId="179" formatCode="_(* #,##0.0_);_(* \(#,##0.0\);_(* &quot;-&quot;_);_(@_)"/>
    <numFmt numFmtId="180" formatCode="_(* #,##0.0000_);_(* \(#,##0.0000\);_(* &quot;-&quot;_);_(@_)"/>
    <numFmt numFmtId="181" formatCode="_(* #,##0.00000_);_(* \(#,##0.00000\);_(* &quot;-&quot;_);_(@_)"/>
    <numFmt numFmtId="182" formatCode="_(* #,##0.000000_);_(* \(#,##0.000000\);_(* &quot;-&quot;_);_(@_)"/>
    <numFmt numFmtId="183" formatCode="0.00000000"/>
    <numFmt numFmtId="184" formatCode="_(* #,##0.0000000_);_(* \(#,##0.0000000\);_(* &quot;-&quot;_);_(@_)"/>
  </numFmts>
  <fonts count="7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u/>
      <sz val="14"/>
      <name val="Times New Roman"/>
      <family val="1"/>
      <charset val="204"/>
    </font>
    <font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1" fillId="2" borderId="0" applyNumberFormat="0" applyBorder="0" applyAlignment="0" applyProtection="0"/>
    <xf numFmtId="0" fontId="1" fillId="2" borderId="0" applyNumberFormat="0" applyBorder="0" applyAlignment="0" applyProtection="0"/>
    <xf numFmtId="0" fontId="31" fillId="3" borderId="0" applyNumberFormat="0" applyBorder="0" applyAlignment="0" applyProtection="0"/>
    <xf numFmtId="0" fontId="1" fillId="3" borderId="0" applyNumberFormat="0" applyBorder="0" applyAlignment="0" applyProtection="0"/>
    <xf numFmtId="0" fontId="3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2" fillId="12" borderId="0" applyNumberFormat="0" applyBorder="0" applyAlignment="0" applyProtection="0"/>
    <xf numFmtId="0" fontId="14" fillId="12" borderId="0" applyNumberFormat="0" applyBorder="0" applyAlignment="0" applyProtection="0"/>
    <xf numFmtId="0" fontId="32" fillId="9" borderId="0" applyNumberFormat="0" applyBorder="0" applyAlignment="0" applyProtection="0"/>
    <xf numFmtId="0" fontId="14" fillId="9" borderId="0" applyNumberFormat="0" applyBorder="0" applyAlignment="0" applyProtection="0"/>
    <xf numFmtId="0" fontId="32" fillId="10" borderId="0" applyNumberFormat="0" applyBorder="0" applyAlignment="0" applyProtection="0"/>
    <xf numFmtId="0" fontId="14" fillId="10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5" fillId="3" borderId="0" applyNumberFormat="0" applyBorder="0" applyAlignment="0" applyProtection="0"/>
    <xf numFmtId="0" fontId="17" fillId="20" borderId="1" applyNumberFormat="0" applyAlignment="0" applyProtection="0"/>
    <xf numFmtId="0" fontId="22" fillId="21" borderId="2" applyNumberFormat="0" applyAlignment="0" applyProtection="0"/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26" fillId="0" borderId="0" applyNumberFormat="0" applyFill="0" applyBorder="0" applyAlignment="0" applyProtection="0"/>
    <xf numFmtId="174" fontId="34" fillId="0" borderId="0" applyAlignment="0">
      <alignment wrapText="1"/>
    </xf>
    <xf numFmtId="0" fontId="29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36" fillId="22" borderId="7">
      <alignment horizontal="left" vertical="center"/>
      <protection locked="0"/>
    </xf>
    <xf numFmtId="49" fontId="36" fillId="22" borderId="7">
      <alignment horizontal="left" vertical="center"/>
    </xf>
    <xf numFmtId="4" fontId="36" fillId="22" borderId="7">
      <alignment horizontal="right" vertical="center"/>
      <protection locked="0"/>
    </xf>
    <xf numFmtId="4" fontId="36" fillId="22" borderId="7">
      <alignment horizontal="right" vertical="center"/>
    </xf>
    <xf numFmtId="4" fontId="37" fillId="22" borderId="7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9" fontId="33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</xf>
    <xf numFmtId="4" fontId="33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41" fillId="22" borderId="3">
      <alignment horizontal="right" vertical="center"/>
      <protection locked="0"/>
    </xf>
    <xf numFmtId="4" fontId="41" fillId="22" borderId="3">
      <alignment horizontal="right" vertical="center"/>
    </xf>
    <xf numFmtId="4" fontId="43" fillId="22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" fontId="45" fillId="0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9" fontId="44" fillId="0" borderId="3">
      <alignment horizontal="left" vertical="center"/>
      <protection locked="0"/>
    </xf>
    <xf numFmtId="49" fontId="45" fillId="0" borderId="3">
      <alignment horizontal="left" vertical="center"/>
      <protection locked="0"/>
    </xf>
    <xf numFmtId="4" fontId="44" fillId="0" borderId="3">
      <alignment horizontal="right" vertical="center"/>
      <protection locked="0"/>
    </xf>
    <xf numFmtId="0" fontId="27" fillId="0" borderId="8" applyNumberFormat="0" applyFill="0" applyAlignment="0" applyProtection="0"/>
    <xf numFmtId="0" fontId="24" fillId="23" borderId="0" applyNumberFormat="0" applyBorder="0" applyAlignment="0" applyProtection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8" fillId="26" borderId="3">
      <alignment horizontal="right" vertical="center"/>
      <protection locked="0"/>
    </xf>
    <xf numFmtId="4" fontId="48" fillId="27" borderId="3">
      <alignment horizontal="right" vertical="center"/>
      <protection locked="0"/>
    </xf>
    <xf numFmtId="4" fontId="48" fillId="28" borderId="3">
      <alignment horizontal="right" vertical="center"/>
      <protection locked="0"/>
    </xf>
    <xf numFmtId="0" fontId="16" fillId="20" borderId="10" applyNumberFormat="0" applyAlignment="0" applyProtection="0"/>
    <xf numFmtId="49" fontId="33" fillId="0" borderId="3">
      <alignment horizontal="left" vertical="center" wrapText="1"/>
      <protection locked="0"/>
    </xf>
    <xf numFmtId="49" fontId="33" fillId="0" borderId="3">
      <alignment horizontal="left" vertical="center" wrapText="1"/>
      <protection locked="0"/>
    </xf>
    <xf numFmtId="0" fontId="23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14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17" borderId="0" applyNumberFormat="0" applyBorder="0" applyAlignment="0" applyProtection="0"/>
    <xf numFmtId="0" fontId="32" fillId="18" borderId="0" applyNumberFormat="0" applyBorder="0" applyAlignment="0" applyProtection="0"/>
    <xf numFmtId="0" fontId="14" fillId="18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9" borderId="0" applyNumberFormat="0" applyBorder="0" applyAlignment="0" applyProtection="0"/>
    <xf numFmtId="0" fontId="14" fillId="19" borderId="0" applyNumberFormat="0" applyBorder="0" applyAlignment="0" applyProtection="0"/>
    <xf numFmtId="0" fontId="49" fillId="7" borderId="1" applyNumberFormat="0" applyAlignment="0" applyProtection="0"/>
    <xf numFmtId="0" fontId="15" fillId="7" borderId="1" applyNumberFormat="0" applyAlignment="0" applyProtection="0"/>
    <xf numFmtId="0" fontId="50" fillId="20" borderId="10" applyNumberFormat="0" applyAlignment="0" applyProtection="0"/>
    <xf numFmtId="0" fontId="16" fillId="20" borderId="10" applyNumberFormat="0" applyAlignment="0" applyProtection="0"/>
    <xf numFmtId="0" fontId="51" fillId="20" borderId="1" applyNumberFormat="0" applyAlignment="0" applyProtection="0"/>
    <xf numFmtId="0" fontId="17" fillId="20" borderId="1" applyNumberFormat="0" applyAlignment="0" applyProtection="0"/>
    <xf numFmtId="165" fontId="11" fillId="0" borderId="0" applyFont="0" applyFill="0" applyBorder="0" applyAlignment="0" applyProtection="0"/>
    <xf numFmtId="0" fontId="52" fillId="0" borderId="4" applyNumberFormat="0" applyFill="0" applyAlignment="0" applyProtection="0"/>
    <xf numFmtId="0" fontId="18" fillId="0" borderId="4" applyNumberFormat="0" applyFill="0" applyAlignment="0" applyProtection="0"/>
    <xf numFmtId="0" fontId="53" fillId="0" borderId="5" applyNumberFormat="0" applyFill="0" applyAlignment="0" applyProtection="0"/>
    <xf numFmtId="0" fontId="19" fillId="0" borderId="5" applyNumberFormat="0" applyFill="0" applyAlignment="0" applyProtection="0"/>
    <xf numFmtId="0" fontId="54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11" applyNumberFormat="0" applyFill="0" applyAlignment="0" applyProtection="0"/>
    <xf numFmtId="0" fontId="21" fillId="0" borderId="11" applyNumberFormat="0" applyFill="0" applyAlignment="0" applyProtection="0"/>
    <xf numFmtId="0" fontId="56" fillId="21" borderId="2" applyNumberFormat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3" borderId="0" applyNumberFormat="0" applyBorder="0" applyAlignment="0" applyProtection="0"/>
    <xf numFmtId="0" fontId="24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1" fillId="0" borderId="0"/>
    <xf numFmtId="0" fontId="2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8" fillId="3" borderId="0" applyNumberFormat="0" applyBorder="0" applyAlignment="0" applyProtection="0"/>
    <xf numFmtId="0" fontId="25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25" borderId="9" applyNumberFormat="0" applyFont="0" applyAlignment="0" applyProtection="0"/>
    <xf numFmtId="0" fontId="11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8" applyNumberFormat="0" applyFill="0" applyAlignment="0" applyProtection="0"/>
    <xf numFmtId="0" fontId="27" fillId="0" borderId="8" applyNumberFormat="0" applyFill="0" applyAlignment="0" applyProtection="0"/>
    <xf numFmtId="0" fontId="3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5" fillId="4" borderId="0" applyNumberFormat="0" applyBorder="0" applyAlignment="0" applyProtection="0"/>
    <xf numFmtId="0" fontId="29" fillId="4" borderId="0" applyNumberFormat="0" applyBorder="0" applyAlignment="0" applyProtection="0"/>
    <xf numFmtId="176" fontId="66" fillId="22" borderId="12" applyFill="0" applyBorder="0">
      <alignment horizontal="center" vertical="center" wrapText="1"/>
      <protection locked="0"/>
    </xf>
    <xf numFmtId="174" fontId="67" fillId="0" borderId="0">
      <alignment wrapText="1"/>
    </xf>
    <xf numFmtId="174" fontId="34" fillId="0" borderId="0">
      <alignment wrapText="1"/>
    </xf>
  </cellStyleXfs>
  <cellXfs count="379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quotePrefix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2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243" applyFont="1" applyFill="1" applyBorder="1" applyAlignment="1">
      <alignment vertical="center"/>
    </xf>
    <xf numFmtId="0" fontId="5" fillId="0" borderId="3" xfId="243" applyFont="1" applyFill="1" applyBorder="1" applyAlignment="1">
      <alignment horizontal="left" vertical="center" wrapText="1"/>
    </xf>
    <xf numFmtId="0" fontId="4" fillId="0" borderId="0" xfId="243" applyFont="1" applyFill="1" applyBorder="1" applyAlignment="1">
      <alignment vertical="center"/>
    </xf>
    <xf numFmtId="0" fontId="5" fillId="0" borderId="0" xfId="243" applyFont="1" applyFill="1" applyBorder="1" applyAlignment="1">
      <alignment horizontal="center" vertical="center"/>
    </xf>
    <xf numFmtId="0" fontId="4" fillId="0" borderId="0" xfId="243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4" fillId="0" borderId="3" xfId="243" applyFont="1" applyFill="1" applyBorder="1" applyAlignment="1">
      <alignment horizontal="center" vertical="center"/>
    </xf>
    <xf numFmtId="0" fontId="13" fillId="0" borderId="0" xfId="243" applyFont="1" applyFill="1"/>
    <xf numFmtId="0" fontId="5" fillId="0" borderId="0" xfId="243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>
      <alignment horizontal="center"/>
    </xf>
    <xf numFmtId="0" fontId="5" fillId="0" borderId="0" xfId="243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4" fillId="0" borderId="3" xfId="243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173" fontId="5" fillId="0" borderId="0" xfId="0" quotePrefix="1" applyNumberFormat="1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right"/>
    </xf>
    <xf numFmtId="0" fontId="5" fillId="0" borderId="0" xfId="0" applyFont="1" applyFill="1" applyBorder="1" applyAlignment="1">
      <alignment vertical="center" wrapText="1" shrinkToFit="1"/>
    </xf>
    <xf numFmtId="164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5" fillId="0" borderId="15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5" fillId="27" borderId="3" xfId="0" applyNumberFormat="1" applyFont="1" applyFill="1" applyBorder="1" applyAlignment="1">
      <alignment horizontal="center" vertical="center" wrapText="1"/>
    </xf>
    <xf numFmtId="164" fontId="4" fillId="27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quotePrefix="1" applyFont="1" applyFill="1" applyBorder="1" applyAlignment="1">
      <alignment horizontal="center" vertical="center"/>
    </xf>
    <xf numFmtId="0" fontId="4" fillId="0" borderId="14" xfId="0" quotePrefix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243" applyFont="1" applyFill="1" applyBorder="1" applyAlignment="1">
      <alignment horizontal="left" vertical="center" wrapText="1"/>
    </xf>
    <xf numFmtId="172" fontId="5" fillId="0" borderId="3" xfId="289" applyNumberFormat="1" applyFont="1" applyFill="1" applyBorder="1" applyAlignment="1">
      <alignment horizontal="right" vertical="center" wrapText="1"/>
    </xf>
    <xf numFmtId="164" fontId="5" fillId="29" borderId="3" xfId="0" applyNumberFormat="1" applyFont="1" applyFill="1" applyBorder="1" applyAlignment="1">
      <alignment horizontal="center" vertical="center" wrapText="1"/>
    </xf>
    <xf numFmtId="172" fontId="4" fillId="0" borderId="3" xfId="289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73" fontId="7" fillId="0" borderId="0" xfId="0" applyNumberFormat="1" applyFont="1" applyFill="1" applyBorder="1" applyAlignment="1">
      <alignment horizontal="center" vertical="center" wrapText="1"/>
    </xf>
    <xf numFmtId="173" fontId="5" fillId="0" borderId="3" xfId="0" applyNumberFormat="1" applyFont="1" applyFill="1" applyBorder="1" applyAlignment="1">
      <alignment horizontal="right" vertical="center" wrapText="1"/>
    </xf>
    <xf numFmtId="173" fontId="4" fillId="0" borderId="3" xfId="0" applyNumberFormat="1" applyFont="1" applyFill="1" applyBorder="1" applyAlignment="1">
      <alignment horizontal="right" vertical="center" wrapText="1"/>
    </xf>
    <xf numFmtId="179" fontId="5" fillId="22" borderId="3" xfId="0" applyNumberFormat="1" applyFont="1" applyFill="1" applyBorder="1" applyAlignment="1">
      <alignment horizontal="center" vertical="center" wrapText="1"/>
    </xf>
    <xf numFmtId="164" fontId="5" fillId="0" borderId="3" xfId="243" applyNumberFormat="1" applyFont="1" applyFill="1" applyBorder="1" applyAlignment="1">
      <alignment horizontal="center" vertical="center" wrapText="1"/>
    </xf>
    <xf numFmtId="0" fontId="5" fillId="0" borderId="3" xfId="243" applyFont="1" applyFill="1" applyBorder="1" applyAlignment="1">
      <alignment horizontal="right" vertical="center" wrapText="1"/>
    </xf>
    <xf numFmtId="172" fontId="5" fillId="0" borderId="0" xfId="289" applyNumberFormat="1" applyFont="1" applyFill="1" applyBorder="1" applyAlignment="1">
      <alignment horizontal="right" vertical="center" wrapText="1"/>
    </xf>
    <xf numFmtId="164" fontId="4" fillId="27" borderId="14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172" fontId="4" fillId="0" borderId="14" xfId="289" applyNumberFormat="1" applyFont="1" applyFill="1" applyBorder="1" applyAlignment="1">
      <alignment horizontal="right" vertical="center" wrapText="1"/>
    </xf>
    <xf numFmtId="172" fontId="4" fillId="0" borderId="15" xfId="289" applyNumberFormat="1" applyFont="1" applyFill="1" applyBorder="1" applyAlignment="1">
      <alignment horizontal="right" vertical="center" wrapText="1"/>
    </xf>
    <xf numFmtId="172" fontId="5" fillId="0" borderId="17" xfId="289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quotePrefix="1" applyNumberFormat="1" applyFont="1" applyFill="1" applyBorder="1" applyAlignment="1">
      <alignment horizontal="center" vertical="center"/>
    </xf>
    <xf numFmtId="49" fontId="4" fillId="0" borderId="3" xfId="0" quotePrefix="1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164" fontId="4" fillId="0" borderId="3" xfId="243" applyNumberFormat="1" applyFont="1" applyFill="1" applyBorder="1" applyAlignment="1">
      <alignment horizontal="center" vertical="center" wrapText="1"/>
    </xf>
    <xf numFmtId="0" fontId="4" fillId="0" borderId="3" xfId="243" applyFont="1" applyFill="1" applyBorder="1" applyAlignment="1">
      <alignment horizontal="right" vertical="center" wrapText="1"/>
    </xf>
    <xf numFmtId="0" fontId="4" fillId="0" borderId="3" xfId="243" applyFont="1" applyFill="1" applyBorder="1" applyAlignment="1">
      <alignment horizontal="center" vertical="center" wrapText="1"/>
    </xf>
    <xf numFmtId="0" fontId="4" fillId="27" borderId="3" xfId="243" applyFont="1" applyFill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center" vertical="center"/>
    </xf>
    <xf numFmtId="0" fontId="5" fillId="0" borderId="3" xfId="0" quotePrefix="1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/>
    </xf>
    <xf numFmtId="173" fontId="7" fillId="0" borderId="0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 shrinkToFit="1"/>
    </xf>
    <xf numFmtId="49" fontId="4" fillId="0" borderId="2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9" fontId="5" fillId="22" borderId="12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Fill="1" applyBorder="1" applyAlignment="1">
      <alignment horizontal="center" vertical="center" wrapText="1"/>
    </xf>
    <xf numFmtId="0" fontId="5" fillId="0" borderId="24" xfId="180" applyFont="1" applyFill="1" applyBorder="1" applyAlignment="1">
      <alignment horizontal="left" vertical="center" wrapText="1"/>
      <protection locked="0"/>
    </xf>
    <xf numFmtId="0" fontId="4" fillId="0" borderId="24" xfId="180" applyFont="1" applyFill="1" applyBorder="1" applyAlignment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4" xfId="0" applyFont="1" applyFill="1" applyBorder="1" applyAlignment="1">
      <alignment horizontal="left" vertical="center" wrapText="1"/>
    </xf>
    <xf numFmtId="0" fontId="5" fillId="0" borderId="24" xfId="243" applyFont="1" applyFill="1" applyBorder="1" applyAlignment="1">
      <alignment horizontal="left" vertical="center" wrapText="1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25" xfId="0" applyFont="1" applyFill="1" applyBorder="1" applyAlignment="1">
      <alignment horizontal="left" vertical="center"/>
    </xf>
    <xf numFmtId="0" fontId="4" fillId="0" borderId="28" xfId="0" quotePrefix="1" applyFont="1" applyFill="1" applyBorder="1" applyAlignment="1">
      <alignment horizontal="left" vertical="center"/>
    </xf>
    <xf numFmtId="0" fontId="4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30" xfId="0" quotePrefix="1" applyNumberFormat="1" applyFont="1" applyFill="1" applyBorder="1" applyAlignment="1">
      <alignment horizontal="center" vertical="center"/>
    </xf>
    <xf numFmtId="164" fontId="4" fillId="0" borderId="30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0" fontId="4" fillId="0" borderId="25" xfId="180" applyFont="1" applyFill="1" applyBorder="1" applyAlignment="1">
      <alignment horizontal="left" vertical="center" wrapText="1"/>
      <protection locked="0"/>
    </xf>
    <xf numFmtId="0" fontId="4" fillId="0" borderId="2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18" xfId="0" quotePrefix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Fill="1" applyBorder="1" applyAlignment="1">
      <alignment horizontal="left" vertical="top" wrapText="1"/>
    </xf>
    <xf numFmtId="0" fontId="7" fillId="30" borderId="24" xfId="0" applyFont="1" applyFill="1" applyBorder="1" applyAlignment="1">
      <alignment horizontal="left" vertical="center" wrapText="1"/>
    </xf>
    <xf numFmtId="49" fontId="7" fillId="30" borderId="3" xfId="0" applyNumberFormat="1" applyFont="1" applyFill="1" applyBorder="1" applyAlignment="1">
      <alignment horizontal="center" vertical="center"/>
    </xf>
    <xf numFmtId="0" fontId="8" fillId="30" borderId="0" xfId="0" applyFont="1" applyFill="1" applyBorder="1" applyAlignment="1">
      <alignment vertical="center"/>
    </xf>
    <xf numFmtId="0" fontId="5" fillId="30" borderId="0" xfId="0" applyFont="1" applyFill="1" applyBorder="1" applyAlignment="1">
      <alignment vertical="center"/>
    </xf>
    <xf numFmtId="0" fontId="5" fillId="30" borderId="13" xfId="0" applyFont="1" applyFill="1" applyBorder="1" applyAlignment="1">
      <alignment vertical="center" wrapText="1"/>
    </xf>
    <xf numFmtId="0" fontId="5" fillId="30" borderId="3" xfId="0" applyFont="1" applyFill="1" applyBorder="1" applyAlignment="1">
      <alignment vertical="center" wrapText="1"/>
    </xf>
    <xf numFmtId="0" fontId="5" fillId="30" borderId="3" xfId="0" applyFont="1" applyFill="1" applyBorder="1" applyAlignment="1">
      <alignment vertical="center"/>
    </xf>
    <xf numFmtId="0" fontId="5" fillId="30" borderId="3" xfId="0" applyFont="1" applyFill="1" applyBorder="1" applyAlignment="1">
      <alignment horizontal="left" vertical="center"/>
    </xf>
    <xf numFmtId="0" fontId="5" fillId="30" borderId="3" xfId="0" applyFont="1" applyFill="1" applyBorder="1" applyAlignment="1">
      <alignment horizontal="center" vertical="center"/>
    </xf>
    <xf numFmtId="0" fontId="5" fillId="30" borderId="3" xfId="0" applyFont="1" applyFill="1" applyBorder="1" applyAlignment="1">
      <alignment horizontal="left" vertical="center" wrapText="1"/>
    </xf>
    <xf numFmtId="0" fontId="4" fillId="30" borderId="32" xfId="243" applyFont="1" applyFill="1" applyBorder="1" applyAlignment="1">
      <alignment horizontal="left" vertical="center" wrapText="1"/>
    </xf>
    <xf numFmtId="164" fontId="4" fillId="30" borderId="15" xfId="0" applyNumberFormat="1" applyFont="1" applyFill="1" applyBorder="1" applyAlignment="1">
      <alignment horizontal="center" vertical="center" wrapText="1"/>
    </xf>
    <xf numFmtId="0" fontId="4" fillId="30" borderId="3" xfId="0" applyFont="1" applyFill="1" applyBorder="1" applyAlignment="1">
      <alignment horizontal="left" vertical="center" wrapText="1"/>
    </xf>
    <xf numFmtId="0" fontId="71" fillId="0" borderId="0" xfId="0" applyFont="1"/>
    <xf numFmtId="164" fontId="5" fillId="0" borderId="3" xfId="0" applyNumberFormat="1" applyFont="1" applyFill="1" applyBorder="1" applyAlignment="1">
      <alignment horizontal="right" vertical="center" wrapText="1"/>
    </xf>
    <xf numFmtId="179" fontId="7" fillId="30" borderId="15" xfId="0" applyNumberFormat="1" applyFont="1" applyFill="1" applyBorder="1" applyAlignment="1">
      <alignment horizontal="right" vertical="center" wrapText="1"/>
    </xf>
    <xf numFmtId="164" fontId="4" fillId="27" borderId="21" xfId="0" applyNumberFormat="1" applyFont="1" applyFill="1" applyBorder="1" applyAlignment="1">
      <alignment horizontal="right" vertical="center" wrapText="1"/>
    </xf>
    <xf numFmtId="164" fontId="4" fillId="27" borderId="3" xfId="0" applyNumberFormat="1" applyFont="1" applyFill="1" applyBorder="1" applyAlignment="1">
      <alignment horizontal="right" vertical="center" wrapText="1"/>
    </xf>
    <xf numFmtId="164" fontId="4" fillId="27" borderId="18" xfId="0" applyNumberFormat="1" applyFont="1" applyFill="1" applyBorder="1" applyAlignment="1">
      <alignment horizontal="right" vertical="center" wrapText="1"/>
    </xf>
    <xf numFmtId="164" fontId="4" fillId="27" borderId="30" xfId="0" applyNumberFormat="1" applyFont="1" applyFill="1" applyBorder="1" applyAlignment="1">
      <alignment horizontal="right" vertical="center" wrapText="1"/>
    </xf>
    <xf numFmtId="164" fontId="5" fillId="27" borderId="21" xfId="0" applyNumberFormat="1" applyFont="1" applyFill="1" applyBorder="1" applyAlignment="1">
      <alignment horizontal="right" vertical="center" wrapText="1"/>
    </xf>
    <xf numFmtId="164" fontId="5" fillId="27" borderId="15" xfId="0" applyNumberFormat="1" applyFont="1" applyFill="1" applyBorder="1" applyAlignment="1">
      <alignment horizontal="right" vertical="center" wrapText="1"/>
    </xf>
    <xf numFmtId="164" fontId="4" fillId="27" borderId="15" xfId="0" applyNumberFormat="1" applyFont="1" applyFill="1" applyBorder="1" applyAlignment="1">
      <alignment horizontal="right" vertical="center" wrapText="1"/>
    </xf>
    <xf numFmtId="164" fontId="4" fillId="27" borderId="31" xfId="0" applyNumberFormat="1" applyFont="1" applyFill="1" applyBorder="1" applyAlignment="1">
      <alignment horizontal="right" vertical="center" wrapText="1"/>
    </xf>
    <xf numFmtId="164" fontId="5" fillId="27" borderId="31" xfId="0" applyNumberFormat="1" applyFont="1" applyFill="1" applyBorder="1" applyAlignment="1">
      <alignment horizontal="right" vertical="center" wrapText="1"/>
    </xf>
    <xf numFmtId="179" fontId="4" fillId="27" borderId="22" xfId="0" applyNumberFormat="1" applyFont="1" applyFill="1" applyBorder="1" applyAlignment="1">
      <alignment horizontal="right" vertical="center" wrapText="1"/>
    </xf>
    <xf numFmtId="179" fontId="4" fillId="27" borderId="12" xfId="0" applyNumberFormat="1" applyFont="1" applyFill="1" applyBorder="1" applyAlignment="1">
      <alignment horizontal="right" vertical="center" wrapText="1"/>
    </xf>
    <xf numFmtId="179" fontId="4" fillId="27" borderId="23" xfId="0" applyNumberFormat="1" applyFont="1" applyFill="1" applyBorder="1" applyAlignment="1">
      <alignment horizontal="right" vertical="center" wrapText="1"/>
    </xf>
    <xf numFmtId="179" fontId="5" fillId="27" borderId="22" xfId="0" applyNumberFormat="1" applyFont="1" applyFill="1" applyBorder="1" applyAlignment="1">
      <alignment horizontal="right" vertical="center" wrapText="1"/>
    </xf>
    <xf numFmtId="179" fontId="5" fillId="27" borderId="33" xfId="0" applyNumberFormat="1" applyFont="1" applyFill="1" applyBorder="1" applyAlignment="1">
      <alignment horizontal="right" vertical="center" wrapText="1"/>
    </xf>
    <xf numFmtId="179" fontId="4" fillId="27" borderId="33" xfId="0" applyNumberFormat="1" applyFont="1" applyFill="1" applyBorder="1" applyAlignment="1">
      <alignment horizontal="right" vertical="center" wrapText="1"/>
    </xf>
    <xf numFmtId="179" fontId="4" fillId="27" borderId="34" xfId="0" applyNumberFormat="1" applyFont="1" applyFill="1" applyBorder="1" applyAlignment="1">
      <alignment horizontal="right" vertical="center" wrapText="1"/>
    </xf>
    <xf numFmtId="179" fontId="5" fillId="27" borderId="34" xfId="0" applyNumberFormat="1" applyFont="1" applyFill="1" applyBorder="1" applyAlignment="1">
      <alignment horizontal="right" vertical="center" wrapText="1"/>
    </xf>
    <xf numFmtId="179" fontId="4" fillId="27" borderId="35" xfId="0" applyNumberFormat="1" applyFont="1" applyFill="1" applyBorder="1" applyAlignment="1">
      <alignment horizontal="right" vertical="center" wrapText="1"/>
    </xf>
    <xf numFmtId="173" fontId="5" fillId="0" borderId="21" xfId="0" applyNumberFormat="1" applyFont="1" applyFill="1" applyBorder="1" applyAlignment="1">
      <alignment horizontal="center" vertical="center" wrapText="1"/>
    </xf>
    <xf numFmtId="173" fontId="4" fillId="0" borderId="3" xfId="0" applyNumberFormat="1" applyFont="1" applyFill="1" applyBorder="1" applyAlignment="1">
      <alignment horizontal="center" vertical="center" wrapText="1"/>
    </xf>
    <xf numFmtId="173" fontId="4" fillId="0" borderId="18" xfId="0" applyNumberFormat="1" applyFont="1" applyFill="1" applyBorder="1" applyAlignment="1">
      <alignment horizontal="center" vertical="center" wrapText="1"/>
    </xf>
    <xf numFmtId="0" fontId="4" fillId="27" borderId="3" xfId="0" applyNumberFormat="1" applyFont="1" applyFill="1" applyBorder="1" applyAlignment="1">
      <alignment horizontal="center" vertical="center" wrapText="1"/>
    </xf>
    <xf numFmtId="164" fontId="4" fillId="27" borderId="18" xfId="0" applyNumberFormat="1" applyFont="1" applyFill="1" applyBorder="1" applyAlignment="1">
      <alignment horizontal="center" vertical="center" wrapText="1"/>
    </xf>
    <xf numFmtId="164" fontId="69" fillId="27" borderId="3" xfId="0" applyNumberFormat="1" applyFont="1" applyFill="1" applyBorder="1" applyAlignment="1">
      <alignment horizontal="right" vertical="center" wrapText="1"/>
    </xf>
    <xf numFmtId="164" fontId="69" fillId="27" borderId="18" xfId="0" applyNumberFormat="1" applyFont="1" applyFill="1" applyBorder="1" applyAlignment="1">
      <alignment horizontal="right" vertical="center" wrapText="1"/>
    </xf>
    <xf numFmtId="0" fontId="5" fillId="0" borderId="36" xfId="0" applyFont="1" applyFill="1" applyBorder="1" applyAlignment="1">
      <alignment vertical="center" wrapText="1" shrinkToFit="1"/>
    </xf>
    <xf numFmtId="0" fontId="5" fillId="0" borderId="3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243" applyFont="1" applyFill="1" applyBorder="1" applyAlignment="1">
      <alignment horizontal="center" vertical="center" wrapText="1"/>
    </xf>
    <xf numFmtId="0" fontId="5" fillId="0" borderId="3" xfId="243" applyFont="1" applyFill="1" applyBorder="1" applyAlignment="1">
      <alignment horizontal="center" vertical="center"/>
    </xf>
    <xf numFmtId="0" fontId="4" fillId="0" borderId="16" xfId="243" applyFont="1" applyFill="1" applyBorder="1" applyAlignment="1">
      <alignment horizontal="left" vertical="center" wrapText="1"/>
    </xf>
    <xf numFmtId="0" fontId="4" fillId="0" borderId="17" xfId="243" applyFont="1" applyFill="1" applyBorder="1" applyAlignment="1">
      <alignment horizontal="left" vertical="center" wrapText="1"/>
    </xf>
    <xf numFmtId="177" fontId="5" fillId="29" borderId="3" xfId="0" applyNumberFormat="1" applyFont="1" applyFill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73" fontId="5" fillId="29" borderId="3" xfId="0" applyNumberFormat="1" applyFont="1" applyFill="1" applyBorder="1" applyAlignment="1">
      <alignment horizontal="center" vertical="center" wrapText="1"/>
    </xf>
    <xf numFmtId="0" fontId="4" fillId="0" borderId="0" xfId="243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177" fontId="4" fillId="29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4" fontId="4" fillId="27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21" xfId="235" applyNumberFormat="1" applyFont="1" applyFill="1" applyBorder="1" applyAlignment="1">
      <alignment horizontal="center" vertical="center" wrapText="1"/>
    </xf>
    <xf numFmtId="0" fontId="4" fillId="0" borderId="50" xfId="0" applyFont="1" applyFill="1" applyBorder="1" applyAlignment="1" applyProtection="1">
      <alignment horizontal="left" vertical="center" wrapText="1"/>
      <protection locked="0"/>
    </xf>
    <xf numFmtId="0" fontId="4" fillId="0" borderId="51" xfId="0" applyFont="1" applyFill="1" applyBorder="1" applyAlignment="1" applyProtection="1">
      <alignment horizontal="left" vertical="center" wrapText="1"/>
      <protection locked="0"/>
    </xf>
    <xf numFmtId="0" fontId="5" fillId="0" borderId="3" xfId="243" applyFont="1" applyFill="1" applyBorder="1" applyAlignment="1">
      <alignment horizontal="center" vertical="center"/>
    </xf>
    <xf numFmtId="164" fontId="4" fillId="27" borderId="3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73" fillId="0" borderId="3" xfId="0" applyFont="1" applyBorder="1" applyAlignment="1">
      <alignment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49" fontId="5" fillId="30" borderId="3" xfId="0" applyNumberFormat="1" applyFont="1" applyFill="1" applyBorder="1" applyAlignment="1">
      <alignment vertical="center" wrapText="1"/>
    </xf>
    <xf numFmtId="164" fontId="5" fillId="30" borderId="15" xfId="0" applyNumberFormat="1" applyFont="1" applyFill="1" applyBorder="1" applyAlignment="1">
      <alignment horizontal="center" vertical="center" wrapText="1"/>
    </xf>
    <xf numFmtId="180" fontId="4" fillId="27" borderId="3" xfId="0" applyNumberFormat="1" applyFont="1" applyFill="1" applyBorder="1" applyAlignment="1">
      <alignment horizontal="center" vertical="center" wrapText="1"/>
    </xf>
    <xf numFmtId="181" fontId="4" fillId="27" borderId="3" xfId="0" applyNumberFormat="1" applyFont="1" applyFill="1" applyBorder="1" applyAlignment="1">
      <alignment horizontal="center" vertical="center" wrapText="1"/>
    </xf>
    <xf numFmtId="182" fontId="4" fillId="27" borderId="3" xfId="0" applyNumberFormat="1" applyFont="1" applyFill="1" applyBorder="1" applyAlignment="1">
      <alignment horizontal="center" vertical="center" wrapText="1"/>
    </xf>
    <xf numFmtId="183" fontId="4" fillId="27" borderId="3" xfId="0" applyNumberFormat="1" applyFont="1" applyFill="1" applyBorder="1" applyAlignment="1">
      <alignment horizontal="center" vertical="center" wrapText="1"/>
    </xf>
    <xf numFmtId="184" fontId="4" fillId="27" borderId="3" xfId="0" applyNumberFormat="1" applyFont="1" applyFill="1" applyBorder="1" applyAlignment="1">
      <alignment horizontal="center" vertical="center" wrapText="1"/>
    </xf>
    <xf numFmtId="184" fontId="5" fillId="22" borderId="3" xfId="0" applyNumberFormat="1" applyFont="1" applyFill="1" applyBorder="1" applyAlignment="1">
      <alignment horizontal="center" vertical="center" wrapText="1"/>
    </xf>
    <xf numFmtId="1" fontId="4" fillId="27" borderId="3" xfId="243" applyNumberFormat="1" applyFont="1" applyFill="1" applyBorder="1" applyAlignment="1">
      <alignment horizontal="center" vertical="center" wrapText="1"/>
    </xf>
    <xf numFmtId="164" fontId="5" fillId="0" borderId="0" xfId="243" applyNumberFormat="1" applyFont="1" applyFill="1" applyBorder="1" applyAlignment="1">
      <alignment vertical="center"/>
    </xf>
    <xf numFmtId="164" fontId="4" fillId="0" borderId="0" xfId="243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68" fillId="0" borderId="0" xfId="0" applyFont="1" applyFill="1" applyBorder="1" applyAlignment="1">
      <alignment horizontal="center" vertical="center" wrapText="1"/>
    </xf>
    <xf numFmtId="164" fontId="4" fillId="30" borderId="3" xfId="0" applyNumberFormat="1" applyFont="1" applyFill="1" applyBorder="1" applyAlignment="1">
      <alignment horizontal="center" vertical="center" wrapText="1"/>
    </xf>
    <xf numFmtId="164" fontId="5" fillId="30" borderId="3" xfId="0" applyNumberFormat="1" applyFont="1" applyFill="1" applyBorder="1" applyAlignment="1">
      <alignment horizontal="center" vertical="center" wrapText="1"/>
    </xf>
    <xf numFmtId="0" fontId="5" fillId="30" borderId="32" xfId="0" applyFont="1" applyFill="1" applyBorder="1" applyAlignment="1">
      <alignment horizontal="left" vertical="center" wrapText="1"/>
    </xf>
    <xf numFmtId="0" fontId="5" fillId="30" borderId="16" xfId="0" applyFont="1" applyFill="1" applyBorder="1" applyAlignment="1">
      <alignment horizontal="left" vertical="center" wrapText="1"/>
    </xf>
    <xf numFmtId="0" fontId="5" fillId="30" borderId="17" xfId="0" applyFont="1" applyFill="1" applyBorder="1" applyAlignment="1">
      <alignment horizontal="left" vertical="center" wrapText="1"/>
    </xf>
    <xf numFmtId="0" fontId="4" fillId="0" borderId="47" xfId="235" applyNumberFormat="1" applyFont="1" applyFill="1" applyBorder="1" applyAlignment="1">
      <alignment horizontal="center" vertical="center" wrapText="1"/>
    </xf>
    <xf numFmtId="0" fontId="4" fillId="0" borderId="0" xfId="235" applyNumberFormat="1" applyFont="1" applyFill="1" applyBorder="1" applyAlignment="1">
      <alignment horizontal="center" vertical="center" wrapText="1"/>
    </xf>
    <xf numFmtId="0" fontId="4" fillId="0" borderId="49" xfId="235" applyNumberFormat="1" applyFont="1" applyFill="1" applyBorder="1" applyAlignment="1">
      <alignment horizontal="center" vertical="center" wrapText="1"/>
    </xf>
    <xf numFmtId="17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8" xfId="0" applyFont="1" applyFill="1" applyBorder="1" applyAlignment="1">
      <alignment horizontal="left" vertical="center" wrapText="1"/>
    </xf>
    <xf numFmtId="0" fontId="5" fillId="30" borderId="32" xfId="0" applyFont="1" applyFill="1" applyBorder="1" applyAlignment="1">
      <alignment horizontal="center" vertical="center" wrapText="1"/>
    </xf>
    <xf numFmtId="0" fontId="5" fillId="30" borderId="16" xfId="0" applyFont="1" applyFill="1" applyBorder="1" applyAlignment="1">
      <alignment horizontal="center" vertical="center" wrapText="1"/>
    </xf>
    <xf numFmtId="0" fontId="5" fillId="3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243" applyFont="1" applyFill="1" applyBorder="1" applyAlignment="1">
      <alignment horizontal="center" vertical="center"/>
    </xf>
    <xf numFmtId="0" fontId="5" fillId="0" borderId="22" xfId="24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quotePrefix="1" applyNumberFormat="1" applyFont="1" applyFill="1" applyBorder="1" applyAlignment="1">
      <alignment horizontal="center"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30" borderId="3" xfId="0" quotePrefix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9" fontId="5" fillId="30" borderId="32" xfId="0" applyNumberFormat="1" applyFont="1" applyFill="1" applyBorder="1" applyAlignment="1">
      <alignment horizontal="center" vertical="center" wrapText="1"/>
    </xf>
    <xf numFmtId="49" fontId="5" fillId="30" borderId="16" xfId="0" applyNumberFormat="1" applyFont="1" applyFill="1" applyBorder="1" applyAlignment="1">
      <alignment horizontal="center" vertical="center" wrapText="1"/>
    </xf>
    <xf numFmtId="49" fontId="5" fillId="30" borderId="17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3" fontId="5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3" xfId="243" applyFont="1" applyFill="1" applyBorder="1" applyAlignment="1">
      <alignment horizontal="center" vertical="center"/>
    </xf>
    <xf numFmtId="0" fontId="5" fillId="0" borderId="3" xfId="243" applyFont="1" applyFill="1" applyBorder="1" applyAlignment="1">
      <alignment horizontal="center" vertical="center" wrapText="1"/>
    </xf>
    <xf numFmtId="0" fontId="4" fillId="0" borderId="0" xfId="243" applyFont="1" applyFill="1" applyBorder="1" applyAlignment="1">
      <alignment horizontal="center" vertical="center"/>
    </xf>
    <xf numFmtId="0" fontId="4" fillId="0" borderId="32" xfId="243" applyFont="1" applyFill="1" applyBorder="1" applyAlignment="1">
      <alignment horizontal="left" vertical="center" wrapText="1"/>
    </xf>
    <xf numFmtId="0" fontId="4" fillId="0" borderId="16" xfId="243" applyFont="1" applyFill="1" applyBorder="1" applyAlignment="1">
      <alignment horizontal="left" vertical="center" wrapText="1"/>
    </xf>
    <xf numFmtId="0" fontId="4" fillId="0" borderId="17" xfId="243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32" xfId="243" applyFont="1" applyFill="1" applyBorder="1" applyAlignment="1">
      <alignment horizontal="center" vertical="center" wrapText="1"/>
    </xf>
    <xf numFmtId="0" fontId="4" fillId="0" borderId="16" xfId="243" applyFont="1" applyFill="1" applyBorder="1" applyAlignment="1">
      <alignment horizontal="center" vertical="center" wrapText="1"/>
    </xf>
    <xf numFmtId="0" fontId="4" fillId="0" borderId="17" xfId="243" applyFont="1" applyFill="1" applyBorder="1" applyAlignment="1">
      <alignment horizontal="center" vertical="center" wrapText="1"/>
    </xf>
    <xf numFmtId="3" fontId="5" fillId="0" borderId="3" xfId="289" applyNumberFormat="1" applyFont="1" applyFill="1" applyBorder="1" applyAlignment="1">
      <alignment horizontal="right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0" fontId="5" fillId="0" borderId="32" xfId="243" applyFont="1" applyFill="1" applyBorder="1" applyAlignment="1">
      <alignment horizontal="center" vertical="center"/>
    </xf>
    <xf numFmtId="0" fontId="5" fillId="0" borderId="16" xfId="243" applyFont="1" applyFill="1" applyBorder="1" applyAlignment="1">
      <alignment horizontal="center" vertical="center"/>
    </xf>
    <xf numFmtId="0" fontId="5" fillId="0" borderId="17" xfId="24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173" fontId="5" fillId="29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5" fillId="0" borderId="14" xfId="243" applyFont="1" applyFill="1" applyBorder="1" applyAlignment="1">
      <alignment horizontal="center" vertical="center" wrapText="1"/>
    </xf>
    <xf numFmtId="0" fontId="5" fillId="0" borderId="40" xfId="243" applyFont="1" applyFill="1" applyBorder="1" applyAlignment="1">
      <alignment horizontal="center" vertical="center" wrapText="1"/>
    </xf>
    <xf numFmtId="0" fontId="5" fillId="0" borderId="15" xfId="243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0" fontId="4" fillId="0" borderId="0" xfId="243" applyFont="1" applyFill="1" applyBorder="1" applyAlignment="1">
      <alignment horizontal="center" vertical="center" wrapText="1"/>
    </xf>
    <xf numFmtId="177" fontId="5" fillId="29" borderId="3" xfId="0" applyNumberFormat="1" applyFont="1" applyFill="1" applyBorder="1" applyAlignment="1">
      <alignment horizontal="center" vertical="center" wrapText="1"/>
    </xf>
    <xf numFmtId="173" fontId="4" fillId="27" borderId="3" xfId="0" applyNumberFormat="1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32" xfId="0" applyNumberFormat="1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177" fontId="5" fillId="29" borderId="32" xfId="0" applyNumberFormat="1" applyFont="1" applyFill="1" applyBorder="1" applyAlignment="1">
      <alignment horizontal="center" vertical="center" wrapText="1"/>
    </xf>
    <xf numFmtId="177" fontId="5" fillId="29" borderId="17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2" fontId="5" fillId="0" borderId="32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40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41" xfId="0" applyFont="1" applyFill="1" applyBorder="1" applyAlignment="1">
      <alignment horizontal="center" vertical="center" wrapText="1" shrinkToFit="1"/>
    </xf>
    <xf numFmtId="0" fontId="5" fillId="0" borderId="46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44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center" vertical="center" wrapText="1" shrinkToFit="1"/>
    </xf>
    <xf numFmtId="172" fontId="4" fillId="0" borderId="13" xfId="0" applyNumberFormat="1" applyFont="1" applyFill="1" applyBorder="1" applyAlignment="1">
      <alignment horizontal="center" vertical="center"/>
    </xf>
    <xf numFmtId="0" fontId="5" fillId="0" borderId="32" xfId="0" applyNumberFormat="1" applyFont="1" applyFill="1" applyBorder="1" applyAlignment="1">
      <alignment horizontal="left" vertical="center" wrapText="1" shrinkToFit="1"/>
    </xf>
    <xf numFmtId="0" fontId="5" fillId="0" borderId="16" xfId="0" applyNumberFormat="1" applyFont="1" applyFill="1" applyBorder="1" applyAlignment="1">
      <alignment horizontal="left" vertical="center" wrapText="1" shrinkToFit="1"/>
    </xf>
    <xf numFmtId="0" fontId="4" fillId="0" borderId="32" xfId="0" applyNumberFormat="1" applyFont="1" applyFill="1" applyBorder="1" applyAlignment="1">
      <alignment horizontal="left" vertical="center" wrapText="1" shrinkToFit="1"/>
    </xf>
    <xf numFmtId="0" fontId="4" fillId="0" borderId="16" xfId="0" applyNumberFormat="1" applyFont="1" applyFill="1" applyBorder="1" applyAlignment="1">
      <alignment horizontal="left" vertical="center" wrapText="1" shrinkToFit="1"/>
    </xf>
    <xf numFmtId="0" fontId="5" fillId="0" borderId="3" xfId="0" applyNumberFormat="1" applyFont="1" applyFill="1" applyBorder="1" applyAlignment="1">
      <alignment horizontal="left" vertical="center" wrapText="1" shrinkToFit="1"/>
    </xf>
    <xf numFmtId="3" fontId="4" fillId="0" borderId="3" xfId="0" applyNumberFormat="1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</cellXfs>
  <cellStyles count="352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5"/>
    <cellStyle name="Вывод 3" xfId="206"/>
    <cellStyle name="Вычисление 2" xfId="207"/>
    <cellStyle name="Вычисление 3" xfId="208"/>
    <cellStyle name="Денежный 2" xfId="209"/>
    <cellStyle name="Заголовок 1 2" xfId="210"/>
    <cellStyle name="Заголовок 1 3" xfId="211"/>
    <cellStyle name="Заголовок 2 2" xfId="212"/>
    <cellStyle name="Заголовок 2 3" xfId="213"/>
    <cellStyle name="Заголовок 3 2" xfId="214"/>
    <cellStyle name="Заголовок 3 3" xfId="215"/>
    <cellStyle name="Заголовок 4 2" xfId="216"/>
    <cellStyle name="Заголовок 4 3" xfId="217"/>
    <cellStyle name="Итог 2" xfId="218"/>
    <cellStyle name="Итог 3" xfId="219"/>
    <cellStyle name="Контрольная ячейка 2" xfId="220"/>
    <cellStyle name="Контрольная ячейка 3" xfId="221"/>
    <cellStyle name="Название 2" xfId="222"/>
    <cellStyle name="Название 3" xfId="223"/>
    <cellStyle name="Нейтральный 2" xfId="224"/>
    <cellStyle name="Нейтральный 3" xfId="225"/>
    <cellStyle name="Обычный" xfId="0" builtinId="0"/>
    <cellStyle name="Обычный 10" xfId="226"/>
    <cellStyle name="Обычный 11" xfId="227"/>
    <cellStyle name="Обычный 12" xfId="228"/>
    <cellStyle name="Обычный 13" xfId="229"/>
    <cellStyle name="Обычный 14" xfId="230"/>
    <cellStyle name="Обычный 15" xfId="231"/>
    <cellStyle name="Обычный 16" xfId="232"/>
    <cellStyle name="Обычный 17" xfId="233"/>
    <cellStyle name="Обычный 18" xfId="234"/>
    <cellStyle name="Обычный 2" xfId="235"/>
    <cellStyle name="Обычный 2 10" xfId="236"/>
    <cellStyle name="Обычный 2 11" xfId="237"/>
    <cellStyle name="Обычный 2 12" xfId="238"/>
    <cellStyle name="Обычный 2 13" xfId="239"/>
    <cellStyle name="Обычный 2 14" xfId="240"/>
    <cellStyle name="Обычный 2 15" xfId="241"/>
    <cellStyle name="Обычный 2 16" xfId="242"/>
    <cellStyle name="Обычный 2 2" xfId="243"/>
    <cellStyle name="Обычный 2 2 2" xfId="244"/>
    <cellStyle name="Обычный 2 2 3" xfId="245"/>
    <cellStyle name="Обычный 2 2_Расшифровка прочих" xfId="246"/>
    <cellStyle name="Обычный 2 3" xfId="247"/>
    <cellStyle name="Обычный 2 4" xfId="248"/>
    <cellStyle name="Обычный 2 5" xfId="249"/>
    <cellStyle name="Обычный 2 6" xfId="250"/>
    <cellStyle name="Обычный 2 7" xfId="251"/>
    <cellStyle name="Обычный 2 8" xfId="252"/>
    <cellStyle name="Обычный 2 9" xfId="253"/>
    <cellStyle name="Обычный 2_2604-2010" xfId="254"/>
    <cellStyle name="Обычный 3" xfId="255"/>
    <cellStyle name="Обычный 3 10" xfId="256"/>
    <cellStyle name="Обычный 3 11" xfId="257"/>
    <cellStyle name="Обычный 3 12" xfId="258"/>
    <cellStyle name="Обычный 3 13" xfId="259"/>
    <cellStyle name="Обычный 3 14" xfId="260"/>
    <cellStyle name="Обычный 3 2" xfId="261"/>
    <cellStyle name="Обычный 3 3" xfId="262"/>
    <cellStyle name="Обычный 3 4" xfId="263"/>
    <cellStyle name="Обычный 3 5" xfId="264"/>
    <cellStyle name="Обычный 3 6" xfId="265"/>
    <cellStyle name="Обычный 3 7" xfId="266"/>
    <cellStyle name="Обычный 3 8" xfId="267"/>
    <cellStyle name="Обычный 3 9" xfId="268"/>
    <cellStyle name="Обычный 3_Дефицит_7 млрд_0608_бс" xfId="269"/>
    <cellStyle name="Обычный 4" xfId="270"/>
    <cellStyle name="Обычный 5" xfId="271"/>
    <cellStyle name="Обычный 5 2" xfId="272"/>
    <cellStyle name="Обычный 6" xfId="273"/>
    <cellStyle name="Обычный 6 2" xfId="274"/>
    <cellStyle name="Обычный 6 3" xfId="275"/>
    <cellStyle name="Обычный 6 4" xfId="276"/>
    <cellStyle name="Обычный 6_Дефицит_7 млрд_0608_бс" xfId="277"/>
    <cellStyle name="Обычный 7" xfId="278"/>
    <cellStyle name="Обычный 7 2" xfId="279"/>
    <cellStyle name="Обычный 8" xfId="280"/>
    <cellStyle name="Обычный 9" xfId="281"/>
    <cellStyle name="Обычный 9 2" xfId="282"/>
    <cellStyle name="Плохой 2" xfId="283"/>
    <cellStyle name="Плохой 3" xfId="284"/>
    <cellStyle name="Пояснение 2" xfId="285"/>
    <cellStyle name="Пояснение 3" xfId="286"/>
    <cellStyle name="Примечание 2" xfId="287"/>
    <cellStyle name="Примечание 3" xfId="288"/>
    <cellStyle name="Процентный" xfId="289" builtinId="5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  <sheetName val="аморт"/>
      <sheetName val="допоміжна"/>
      <sheetName val="Лист1"/>
      <sheetName val="Ener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  <sheetName val="БАЗА__"/>
      <sheetName val="МТР_Газ_України"/>
      <sheetName val="Annual_Tables"/>
      <sheetName val="Annual_Raw_Data"/>
      <sheetName val="Quarterly_Raw_Data"/>
      <sheetName val="Quarterly_MacroFlow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  <sheetName val="МТР_Газ_України1"/>
      <sheetName val="реестр_заявок1"/>
      <sheetName val="7__Інші_витрати"/>
      <sheetName val="БАЗА__"/>
      <sheetName val="до_викупа"/>
      <sheetName val="Note2_to_do_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1993"/>
      <sheetName val="gdp"/>
      <sheetName val="assumptions"/>
      <sheetName val="МТР_Газ_України"/>
      <sheetName val="7__інші_витрати"/>
      <sheetName val="Ener_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1993"/>
      <sheetName val="gdp"/>
      <sheetName val="Assumptions"/>
      <sheetName val="consolidation hq formatted"/>
      <sheetName val="1_Структура_по_елементах"/>
      <sheetName val="7__інші_витрати"/>
      <sheetName val="МТР_Газ_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  <sheetName val="1993"/>
      <sheetName val="comp"/>
      <sheetName val="МТР_Газ_України"/>
      <sheetName val="7__інші_витрат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  <sheetName val="зведена_таб1"/>
      <sheetName val="попер_роз_(4)1"/>
      <sheetName val="звед_оптим_(2)1"/>
      <sheetName val="МТР_Газ_України1"/>
      <sheetName val="Ener_"/>
      <sheetName val="прим__IX__Деб__заб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  <sheetName val="Ener 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1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  <sheetName val="МТР_Газ_України1"/>
      <sheetName val="МТР_все_21"/>
      <sheetName val="Правила_ДДС"/>
      <sheetName val="база__"/>
      <sheetName val="7__Інші_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аза__"/>
      <sheetName val="МТР_все_-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  <sheetName val="МТР_Газ_України1"/>
      <sheetName val="база__"/>
      <sheetName val="7__інші_витрати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  <sheetName val="МТР_Газ_України1"/>
      <sheetName val="7__Інші_витрати"/>
      <sheetName val="МТР_все_2"/>
      <sheetName val="Assumptions_and_Input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МТР_все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  <sheetName val="МТР_Апарат2"/>
      <sheetName val="МТР_Газ_України2"/>
      <sheetName val="МТР_Укртрансгаз2"/>
      <sheetName val="МТР_Укргазвидобування2"/>
      <sheetName val="МТР_Укрспецтрансгаз2"/>
      <sheetName val="МТР_Чорноморнафтогаз2"/>
      <sheetName val="МТР_Укртранснафта2"/>
      <sheetName val="МТР_Газ-тепло2"/>
      <sheetName val="7__Інші_витрати"/>
      <sheetName val="Ener_"/>
      <sheetName val="Internal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  <sheetName val="МТР_Газ_України1"/>
      <sheetName val="база__"/>
      <sheetName val="7__інші_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  <sheetName val="п"/>
      <sheetName val="7__інші_витрати"/>
      <sheetName val="база__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Лист1"/>
      <sheetName val="МТР все 2"/>
      <sheetName val="МТР_Газ_України"/>
      <sheetName val="попер_роз"/>
      <sheetName val="assumptions and inputs"/>
      <sheetName val="Cash Flows"/>
      <sheetName val="Terminal Value"/>
      <sheetName val="7  інші витрати"/>
      <sheetName val="МТР_Газ_України1"/>
      <sheetName val="МТР_все_2"/>
      <sheetName val="база__"/>
      <sheetName val="assumptions_and_inputs"/>
      <sheetName val="Cash_Flows"/>
      <sheetName val="Terminal_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Бюдж. баланс "/>
      <sheetName val="параметри"/>
      <sheetName val="Додаток 3"/>
      <sheetName val="Ener_"/>
      <sheetName val="попер_роз"/>
      <sheetName val="МТР_Газ_України1"/>
      <sheetName val="Ener_1"/>
      <sheetName val="Додаток_3"/>
      <sheetName val="7__інші_витрати"/>
      <sheetName val="МТР_все_2"/>
      <sheetName val="МТР_Апарат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юдж__баланс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  <sheetName val="БАЗА__1"/>
      <sheetName val="БАЗА___(2)1"/>
      <sheetName val="БАЗА___(3)1"/>
      <sheetName val="БАЗА___(5)1"/>
      <sheetName val="БАЗА___(4)1"/>
      <sheetName val="МТР_Газ_України1"/>
      <sheetName val="Ene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  <sheetName val="БАЗА__"/>
      <sheetName val="півріч"/>
      <sheetName val="КурсВалют"/>
      <sheetName val="НЕ УДАЛЯТЬ!"/>
      <sheetName val="БАЗА__1"/>
      <sheetName val="МТР_Газ_України"/>
      <sheetName val="7__інші_витрати"/>
      <sheetName val="НЕ_УДАЛЯТЬ!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  <sheetName val="Assumptions and Inputs"/>
      <sheetName val="Лист1"/>
      <sheetName val="consolidation hq formatted"/>
      <sheetName val="Правила_ДДС"/>
      <sheetName val="МТР_Газ_України"/>
      <sheetName val="7__інші_витрати"/>
      <sheetName val="Assumptions_and_Inputs"/>
      <sheetName val="Ener 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  <sheetName val="БАЗА  "/>
      <sheetName val="NIR-$"/>
      <sheetName val="МТР_Газ_України"/>
      <sheetName val="7__Інші_витрати"/>
      <sheetName val="consolidation_hq_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  <sheetName val="БАЗА  "/>
      <sheetName val="Технич_лист"/>
      <sheetName val="МТР_Газ_України"/>
      <sheetName val="до_викупа"/>
      <sheetName val="БАЗА__"/>
      <sheetName val="Ener_"/>
      <sheetName val="7__інші_витрати"/>
      <sheetName val="Розш__ел__витрат_за_9_місяців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  <sheetName val="база  "/>
      <sheetName val="МТР_Газ_України"/>
      <sheetName val="реестр_заявок1"/>
      <sheetName val="7__Інші_витрат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  <sheetName val="реестр_заявок2"/>
      <sheetName val="Note2_to_do_"/>
      <sheetName val="МТР_Газ_України"/>
      <sheetName val="7__Інші_витрати"/>
      <sheetName val="база__"/>
      <sheetName val="додаток__3"/>
      <sheetName val="mt_bk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  <sheetName val="БАЗА__1"/>
      <sheetName val="БАЗА___(2)1"/>
      <sheetName val="БАЗА___(3)1"/>
      <sheetName val="БАЗА___(4)1"/>
      <sheetName val="БАЗА___(5)1"/>
      <sheetName val="БАЗА___(6)1"/>
      <sheetName val="БАЗА___(7)1"/>
      <sheetName val="БАЗА___(8)1"/>
      <sheetName val="БАЗА___(9)1"/>
      <sheetName val="БАЗА___(10)1"/>
      <sheetName val="БАЗА___(12)1"/>
      <sheetName val="БАЗА___(11)1"/>
      <sheetName val="БАЗА___(13)1"/>
      <sheetName val="БАЗА___(14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454"/>
  <sheetViews>
    <sheetView tabSelected="1" topLeftCell="A79" zoomScale="60" zoomScaleNormal="60" zoomScaleSheetLayoutView="51" zoomScalePageLayoutView="73" workbookViewId="0">
      <selection activeCell="F109" sqref="F109"/>
    </sheetView>
  </sheetViews>
  <sheetFormatPr defaultRowHeight="18.75"/>
  <cols>
    <col min="1" max="1" width="86.140625" style="3" customWidth="1"/>
    <col min="2" max="2" width="17.140625" style="15" customWidth="1"/>
    <col min="3" max="6" width="30.7109375" style="15" customWidth="1"/>
    <col min="7" max="7" width="28.5703125" style="15" customWidth="1"/>
    <col min="8" max="8" width="21.7109375" style="15" customWidth="1"/>
    <col min="9" max="9" width="10" style="3" customWidth="1"/>
    <col min="10" max="10" width="9.5703125" style="3" customWidth="1"/>
    <col min="11" max="16384" width="9.140625" style="3"/>
  </cols>
  <sheetData>
    <row r="1" spans="1:12" ht="18.75" customHeight="1">
      <c r="A1" s="210"/>
      <c r="B1" s="14"/>
      <c r="C1" s="14"/>
      <c r="D1" s="14"/>
      <c r="E1" s="210"/>
      <c r="F1" s="196"/>
      <c r="G1" s="196"/>
      <c r="H1" s="196"/>
      <c r="I1" s="54"/>
      <c r="J1" s="54"/>
      <c r="K1" s="54"/>
      <c r="L1" s="54"/>
    </row>
    <row r="2" spans="1:12" ht="18.75" customHeight="1">
      <c r="A2" s="43"/>
      <c r="B2" s="189"/>
      <c r="C2" s="189"/>
      <c r="D2" s="189"/>
      <c r="E2" s="210"/>
      <c r="F2" s="220" t="s">
        <v>376</v>
      </c>
      <c r="G2" s="216"/>
      <c r="H2" s="196"/>
      <c r="I2" s="54"/>
      <c r="J2" s="54"/>
      <c r="K2" s="54"/>
      <c r="L2" s="54"/>
    </row>
    <row r="3" spans="1:12" ht="18.75" customHeight="1">
      <c r="A3" s="189"/>
      <c r="B3" s="189"/>
      <c r="C3" s="189"/>
      <c r="D3" s="189"/>
      <c r="E3" s="196"/>
      <c r="F3" s="221" t="s">
        <v>377</v>
      </c>
      <c r="G3" s="216"/>
      <c r="H3" s="196"/>
      <c r="I3" s="54"/>
      <c r="J3" s="54"/>
      <c r="K3" s="54"/>
      <c r="L3" s="54"/>
    </row>
    <row r="4" spans="1:12" ht="18.75" customHeight="1">
      <c r="A4" s="189"/>
      <c r="B4" s="189"/>
      <c r="C4" s="189"/>
      <c r="D4" s="189"/>
      <c r="E4" s="196"/>
      <c r="F4" s="221" t="s">
        <v>378</v>
      </c>
      <c r="G4" s="216"/>
      <c r="H4" s="196"/>
      <c r="I4" s="54"/>
      <c r="J4" s="54"/>
      <c r="K4" s="54"/>
      <c r="L4" s="54"/>
    </row>
    <row r="5" spans="1:12" ht="18.75" customHeight="1">
      <c r="A5" s="189"/>
      <c r="B5" s="189"/>
      <c r="C5" s="189"/>
      <c r="D5" s="189"/>
      <c r="E5" s="196"/>
      <c r="F5" s="220" t="s">
        <v>379</v>
      </c>
      <c r="G5" s="216"/>
      <c r="H5" s="196"/>
      <c r="I5" s="54"/>
      <c r="J5" s="54"/>
      <c r="K5" s="54"/>
      <c r="L5" s="54"/>
    </row>
    <row r="6" spans="1:12" ht="18.75" customHeight="1">
      <c r="A6" s="189"/>
      <c r="B6" s="189"/>
      <c r="C6" s="189"/>
      <c r="D6" s="189"/>
      <c r="E6" s="196"/>
      <c r="F6" s="216"/>
      <c r="G6" s="216"/>
      <c r="H6" s="196"/>
      <c r="I6" s="54"/>
      <c r="J6" s="54"/>
      <c r="K6" s="54"/>
      <c r="L6" s="54"/>
    </row>
    <row r="7" spans="1:12" ht="18.75" customHeight="1">
      <c r="A7" s="189"/>
      <c r="B7" s="189"/>
      <c r="C7" s="189"/>
      <c r="D7" s="189"/>
      <c r="E7" s="196"/>
      <c r="F7" s="216"/>
      <c r="G7" s="216"/>
      <c r="H7" s="196"/>
      <c r="I7" s="54"/>
      <c r="J7" s="54"/>
      <c r="K7" s="54"/>
      <c r="L7" s="54"/>
    </row>
    <row r="8" spans="1:12" ht="18.75" customHeight="1">
      <c r="A8" s="189"/>
      <c r="B8" s="189"/>
      <c r="C8" s="189"/>
      <c r="D8" s="189"/>
      <c r="E8" s="196"/>
      <c r="F8" s="196"/>
      <c r="G8" s="196"/>
      <c r="H8" s="196"/>
      <c r="I8" s="54"/>
      <c r="J8" s="54"/>
      <c r="K8" s="54"/>
      <c r="L8" s="54"/>
    </row>
    <row r="9" spans="1:12" ht="39.75" customHeight="1">
      <c r="A9" s="145"/>
      <c r="B9" s="146"/>
      <c r="C9" s="146"/>
      <c r="D9" s="146"/>
      <c r="E9" s="261" t="s">
        <v>0</v>
      </c>
      <c r="F9" s="263"/>
      <c r="G9" s="261" t="s">
        <v>1</v>
      </c>
      <c r="H9" s="263"/>
      <c r="I9" s="210"/>
      <c r="J9" s="210"/>
      <c r="K9" s="210"/>
      <c r="L9" s="210"/>
    </row>
    <row r="10" spans="1:12" ht="66" customHeight="1">
      <c r="A10" s="147" t="s">
        <v>2</v>
      </c>
      <c r="B10" s="246" t="s">
        <v>407</v>
      </c>
      <c r="C10" s="247"/>
      <c r="D10" s="248"/>
      <c r="E10" s="148" t="s">
        <v>3</v>
      </c>
      <c r="F10" s="231" t="s">
        <v>415</v>
      </c>
      <c r="G10" s="149" t="s">
        <v>4</v>
      </c>
      <c r="H10" s="150"/>
      <c r="I10" s="210"/>
      <c r="J10" s="210"/>
      <c r="K10" s="210"/>
      <c r="L10" s="210"/>
    </row>
    <row r="11" spans="1:12" ht="20.100000000000001" customHeight="1">
      <c r="A11" s="148" t="s">
        <v>5</v>
      </c>
      <c r="B11" s="246" t="s">
        <v>408</v>
      </c>
      <c r="C11" s="247"/>
      <c r="D11" s="248"/>
      <c r="E11" s="147" t="s">
        <v>6</v>
      </c>
      <c r="F11" s="231">
        <v>150</v>
      </c>
      <c r="G11" s="149" t="s">
        <v>4</v>
      </c>
      <c r="H11" s="150"/>
      <c r="I11" s="210"/>
      <c r="J11" s="210"/>
      <c r="K11" s="210"/>
      <c r="L11" s="210"/>
    </row>
    <row r="12" spans="1:12" ht="20.100000000000001" customHeight="1">
      <c r="A12" s="151" t="s">
        <v>7</v>
      </c>
      <c r="B12" s="246" t="s">
        <v>409</v>
      </c>
      <c r="C12" s="247"/>
      <c r="D12" s="248"/>
      <c r="E12" s="148" t="s">
        <v>8</v>
      </c>
      <c r="F12" s="231"/>
      <c r="G12" s="149" t="s">
        <v>4</v>
      </c>
      <c r="H12" s="150"/>
      <c r="I12" s="210"/>
      <c r="J12" s="210"/>
      <c r="K12" s="210"/>
      <c r="L12" s="210"/>
    </row>
    <row r="13" spans="1:12" ht="20.100000000000001" customHeight="1">
      <c r="A13" s="147" t="s">
        <v>9</v>
      </c>
      <c r="B13" s="246" t="s">
        <v>410</v>
      </c>
      <c r="C13" s="247"/>
      <c r="D13" s="248"/>
      <c r="E13" s="147" t="s">
        <v>10</v>
      </c>
      <c r="F13" s="231" t="s">
        <v>416</v>
      </c>
      <c r="G13" s="149" t="s">
        <v>4</v>
      </c>
      <c r="H13" s="150"/>
      <c r="I13" s="210"/>
      <c r="J13" s="210"/>
      <c r="K13" s="210"/>
      <c r="L13" s="210"/>
    </row>
    <row r="14" spans="1:12" ht="20.100000000000001" customHeight="1">
      <c r="A14" s="147" t="s">
        <v>11</v>
      </c>
      <c r="B14" s="246" t="s">
        <v>411</v>
      </c>
      <c r="C14" s="247"/>
      <c r="D14" s="247"/>
      <c r="E14" s="247"/>
      <c r="F14" s="247"/>
      <c r="G14" s="247"/>
      <c r="H14" s="248"/>
      <c r="I14" s="210"/>
      <c r="J14" s="210"/>
      <c r="K14" s="210"/>
      <c r="L14" s="210"/>
    </row>
    <row r="15" spans="1:12" ht="20.100000000000001" customHeight="1">
      <c r="A15" s="147" t="s">
        <v>12</v>
      </c>
      <c r="B15" s="261"/>
      <c r="C15" s="262"/>
      <c r="D15" s="262"/>
      <c r="E15" s="262"/>
      <c r="F15" s="262"/>
      <c r="G15" s="262"/>
      <c r="H15" s="263"/>
      <c r="I15" s="210"/>
      <c r="J15" s="210"/>
      <c r="K15" s="210"/>
      <c r="L15" s="210"/>
    </row>
    <row r="16" spans="1:12" ht="20.100000000000001" customHeight="1">
      <c r="A16" s="147" t="s">
        <v>13</v>
      </c>
      <c r="B16" s="261"/>
      <c r="C16" s="262"/>
      <c r="D16" s="262"/>
      <c r="E16" s="262"/>
      <c r="F16" s="262"/>
      <c r="G16" s="262"/>
      <c r="H16" s="263"/>
      <c r="I16" s="210"/>
      <c r="J16" s="210"/>
      <c r="K16" s="210"/>
      <c r="L16" s="210"/>
    </row>
    <row r="17" spans="1:8" ht="20.100000000000001" customHeight="1">
      <c r="A17" s="147" t="s">
        <v>14</v>
      </c>
      <c r="B17" s="261">
        <v>57</v>
      </c>
      <c r="C17" s="262"/>
      <c r="D17" s="262"/>
      <c r="E17" s="262"/>
      <c r="F17" s="262"/>
      <c r="G17" s="262"/>
      <c r="H17" s="263"/>
    </row>
    <row r="18" spans="1:8" ht="20.100000000000001" customHeight="1">
      <c r="A18" s="10" t="s">
        <v>15</v>
      </c>
      <c r="B18" s="270" t="s">
        <v>412</v>
      </c>
      <c r="C18" s="271"/>
      <c r="D18" s="271"/>
      <c r="E18" s="271"/>
      <c r="F18" s="271"/>
      <c r="G18" s="271"/>
      <c r="H18" s="272"/>
    </row>
    <row r="19" spans="1:8" ht="20.100000000000001" customHeight="1">
      <c r="A19" s="8" t="s">
        <v>16</v>
      </c>
      <c r="B19" s="273" t="s">
        <v>413</v>
      </c>
      <c r="C19" s="274"/>
      <c r="D19" s="274"/>
      <c r="E19" s="275"/>
      <c r="F19" s="270" t="s">
        <v>17</v>
      </c>
      <c r="G19" s="272"/>
      <c r="H19" s="8"/>
    </row>
    <row r="20" spans="1:8" ht="19.5" customHeight="1">
      <c r="A20" s="10" t="s">
        <v>18</v>
      </c>
      <c r="B20" s="270" t="s">
        <v>414</v>
      </c>
      <c r="C20" s="271"/>
      <c r="D20" s="271"/>
      <c r="E20" s="272"/>
      <c r="F20" s="265" t="s">
        <v>19</v>
      </c>
      <c r="G20" s="266"/>
      <c r="H20" s="8"/>
    </row>
    <row r="21" spans="1:8" ht="20.100000000000001" customHeight="1">
      <c r="A21" s="210"/>
      <c r="B21" s="32"/>
      <c r="C21" s="32"/>
      <c r="D21" s="32"/>
      <c r="E21" s="32"/>
      <c r="F21" s="210"/>
      <c r="G21" s="210"/>
      <c r="H21" s="210"/>
    </row>
    <row r="22" spans="1:8" ht="19.5" customHeight="1">
      <c r="A22" s="196"/>
      <c r="B22" s="210"/>
      <c r="C22" s="210"/>
      <c r="D22" s="210"/>
      <c r="E22" s="210"/>
      <c r="F22" s="210"/>
      <c r="G22" s="210"/>
      <c r="H22" s="210"/>
    </row>
    <row r="23" spans="1:8" ht="19.5" customHeight="1">
      <c r="A23" s="264" t="s">
        <v>20</v>
      </c>
      <c r="B23" s="264"/>
      <c r="C23" s="264"/>
      <c r="D23" s="264"/>
      <c r="E23" s="264"/>
      <c r="F23" s="264"/>
      <c r="G23" s="264"/>
      <c r="H23" s="264"/>
    </row>
    <row r="24" spans="1:8">
      <c r="A24" s="264" t="s">
        <v>21</v>
      </c>
      <c r="B24" s="264"/>
      <c r="C24" s="264"/>
      <c r="D24" s="264"/>
      <c r="E24" s="264"/>
      <c r="F24" s="264"/>
      <c r="G24" s="264"/>
      <c r="H24" s="264"/>
    </row>
    <row r="25" spans="1:8">
      <c r="A25" s="267" t="s">
        <v>417</v>
      </c>
      <c r="B25" s="267"/>
      <c r="C25" s="267"/>
      <c r="D25" s="267"/>
      <c r="E25" s="267"/>
      <c r="F25" s="267"/>
      <c r="G25" s="267"/>
      <c r="H25" s="267"/>
    </row>
    <row r="26" spans="1:8">
      <c r="A26" s="253" t="s">
        <v>22</v>
      </c>
      <c r="B26" s="253"/>
      <c r="C26" s="253"/>
      <c r="D26" s="253"/>
      <c r="E26" s="253"/>
      <c r="F26" s="253"/>
      <c r="G26" s="253"/>
      <c r="H26" s="253"/>
    </row>
    <row r="27" spans="1:8" ht="9" customHeight="1">
      <c r="A27" s="185"/>
      <c r="B27" s="185"/>
      <c r="C27" s="185"/>
      <c r="D27" s="185"/>
      <c r="E27" s="185"/>
      <c r="F27" s="185"/>
      <c r="G27" s="185"/>
      <c r="H27" s="185"/>
    </row>
    <row r="28" spans="1:8">
      <c r="A28" s="264" t="s">
        <v>23</v>
      </c>
      <c r="B28" s="264"/>
      <c r="C28" s="264"/>
      <c r="D28" s="264"/>
      <c r="E28" s="264"/>
      <c r="F28" s="264"/>
      <c r="G28" s="264"/>
      <c r="H28" s="264"/>
    </row>
    <row r="29" spans="1:8" ht="12" customHeight="1" thickBot="1">
      <c r="A29" s="210"/>
      <c r="B29" s="17"/>
      <c r="C29" s="17"/>
      <c r="D29" s="17"/>
      <c r="E29" s="17"/>
      <c r="F29" s="17"/>
      <c r="G29" s="17"/>
      <c r="H29" s="17"/>
    </row>
    <row r="30" spans="1:8" ht="43.5" customHeight="1">
      <c r="A30" s="268" t="s">
        <v>24</v>
      </c>
      <c r="B30" s="276" t="s">
        <v>25</v>
      </c>
      <c r="C30" s="276" t="s">
        <v>26</v>
      </c>
      <c r="D30" s="276"/>
      <c r="E30" s="277" t="s">
        <v>27</v>
      </c>
      <c r="F30" s="277"/>
      <c r="G30" s="277"/>
      <c r="H30" s="278"/>
    </row>
    <row r="31" spans="1:8" ht="44.25" customHeight="1">
      <c r="A31" s="269"/>
      <c r="B31" s="279"/>
      <c r="C31" s="186" t="s">
        <v>28</v>
      </c>
      <c r="D31" s="186" t="s">
        <v>29</v>
      </c>
      <c r="E31" s="207" t="s">
        <v>30</v>
      </c>
      <c r="F31" s="207" t="s">
        <v>31</v>
      </c>
      <c r="G31" s="207" t="s">
        <v>32</v>
      </c>
      <c r="H31" s="92" t="s">
        <v>33</v>
      </c>
    </row>
    <row r="32" spans="1:8" ht="19.5" thickBot="1">
      <c r="A32" s="137">
        <v>1</v>
      </c>
      <c r="B32" s="138">
        <v>2</v>
      </c>
      <c r="C32" s="108">
        <v>3</v>
      </c>
      <c r="D32" s="138">
        <v>4</v>
      </c>
      <c r="E32" s="108">
        <v>5</v>
      </c>
      <c r="F32" s="138">
        <v>6</v>
      </c>
      <c r="G32" s="108">
        <v>7</v>
      </c>
      <c r="H32" s="139">
        <v>8</v>
      </c>
    </row>
    <row r="33" spans="1:8" s="5" customFormat="1" ht="25.5" customHeight="1" thickBot="1">
      <c r="A33" s="254" t="s">
        <v>34</v>
      </c>
      <c r="B33" s="255"/>
      <c r="C33" s="255"/>
      <c r="D33" s="255"/>
      <c r="E33" s="255"/>
      <c r="F33" s="255"/>
      <c r="G33" s="255"/>
      <c r="H33" s="256"/>
    </row>
    <row r="34" spans="1:8" s="5" customFormat="1" ht="20.100000000000001" customHeight="1">
      <c r="A34" s="133" t="s">
        <v>35</v>
      </c>
      <c r="B34" s="134">
        <v>1000</v>
      </c>
      <c r="C34" s="112">
        <f>'І. Інф. до звіт.'!C27</f>
        <v>10289.5</v>
      </c>
      <c r="D34" s="112">
        <f>'І. Інф. до звіт.'!D27</f>
        <v>12133.5</v>
      </c>
      <c r="E34" s="112">
        <f>'І. Інф. до звіт.'!E27</f>
        <v>6750</v>
      </c>
      <c r="F34" s="112">
        <f>'І. Інф. до звіт.'!F27</f>
        <v>6751</v>
      </c>
      <c r="G34" s="158">
        <f>F34-E34</f>
        <v>1</v>
      </c>
      <c r="H34" s="167">
        <f>(F34/E34)*100</f>
        <v>100.01481481481483</v>
      </c>
    </row>
    <row r="35" spans="1:8" s="5" customFormat="1" ht="20.100000000000001" customHeight="1">
      <c r="A35" s="113" t="s">
        <v>36</v>
      </c>
      <c r="B35" s="186">
        <v>1010</v>
      </c>
      <c r="C35" s="55">
        <f>'І. Інф. до звіт.'!C28</f>
        <v>-8578.2000000000007</v>
      </c>
      <c r="D35" s="55">
        <f>'І. Інф. до звіт.'!D28</f>
        <v>-9004.2000000000007</v>
      </c>
      <c r="E35" s="55">
        <f>'І. Інф. до звіт.'!E28</f>
        <v>-5941</v>
      </c>
      <c r="F35" s="55">
        <f>'І. Інф. до звіт.'!F28</f>
        <v>-4737.8</v>
      </c>
      <c r="G35" s="159">
        <f>F35-E35</f>
        <v>1203.1999999999998</v>
      </c>
      <c r="H35" s="168">
        <f>(F35/E35)*100</f>
        <v>79.74751725298772</v>
      </c>
    </row>
    <row r="36" spans="1:8" s="5" customFormat="1" ht="20.100000000000001" customHeight="1">
      <c r="A36" s="114" t="s">
        <v>37</v>
      </c>
      <c r="B36" s="198">
        <v>1020</v>
      </c>
      <c r="C36" s="204">
        <f>SUM(C34:C35)</f>
        <v>1711.2999999999993</v>
      </c>
      <c r="D36" s="204">
        <f>SUM(D34:D35)</f>
        <v>3129.2999999999993</v>
      </c>
      <c r="E36" s="204">
        <f>SUM(E34:E35)</f>
        <v>809</v>
      </c>
      <c r="F36" s="204">
        <f>SUM(F34:F35)</f>
        <v>2013.1999999999998</v>
      </c>
      <c r="G36" s="159">
        <f>F36-E36</f>
        <v>1204.1999999999998</v>
      </c>
      <c r="H36" s="168">
        <f>(F36/E36)*100</f>
        <v>248.85043263288006</v>
      </c>
    </row>
    <row r="37" spans="1:8" s="5" customFormat="1" ht="20.100000000000001" customHeight="1">
      <c r="A37" s="115" t="s">
        <v>38</v>
      </c>
      <c r="B37" s="198">
        <v>1300</v>
      </c>
      <c r="C37" s="56">
        <f>'І. Інф. до звіт.'!C103</f>
        <v>687.89999999999941</v>
      </c>
      <c r="D37" s="56">
        <f>'І. Інф. до звіт.'!D103</f>
        <v>1783.9999999999991</v>
      </c>
      <c r="E37" s="56">
        <f>'І. Інф. до звіт.'!E103</f>
        <v>105</v>
      </c>
      <c r="F37" s="56">
        <f>'І. Інф. до звіт.'!F103</f>
        <v>1349.7999999999997</v>
      </c>
      <c r="G37" s="159">
        <f>F37-E37</f>
        <v>1244.7999999999997</v>
      </c>
      <c r="H37" s="168">
        <f>(F37/E37)*100</f>
        <v>1285.5238095238092</v>
      </c>
    </row>
    <row r="38" spans="1:8" s="5" customFormat="1" ht="20.100000000000001" customHeight="1" thickBot="1">
      <c r="A38" s="135" t="s">
        <v>39</v>
      </c>
      <c r="B38" s="136">
        <v>1200</v>
      </c>
      <c r="C38" s="90">
        <f>'І. Інф. до звіт.'!C97</f>
        <v>555.49999999999943</v>
      </c>
      <c r="D38" s="90">
        <f>'І. Інф. до звіт.'!D97</f>
        <v>1625.1999999999991</v>
      </c>
      <c r="E38" s="90">
        <f>'І. Інф. до звіт.'!E97</f>
        <v>50</v>
      </c>
      <c r="F38" s="90">
        <f>'І. Інф. до звіт.'!F97</f>
        <v>1246.1999999999998</v>
      </c>
      <c r="G38" s="160">
        <f>F38-E38</f>
        <v>1196.1999999999998</v>
      </c>
      <c r="H38" s="169">
        <f>(F38/E38)*100</f>
        <v>2492.3999999999996</v>
      </c>
    </row>
    <row r="39" spans="1:8" s="5" customFormat="1" ht="28.5" customHeight="1" thickBot="1">
      <c r="A39" s="254" t="s">
        <v>40</v>
      </c>
      <c r="B39" s="255"/>
      <c r="C39" s="255"/>
      <c r="D39" s="255"/>
      <c r="E39" s="255"/>
      <c r="F39" s="255"/>
      <c r="G39" s="255"/>
      <c r="H39" s="256"/>
    </row>
    <row r="40" spans="1:8" s="5" customFormat="1">
      <c r="A40" s="130" t="s">
        <v>41</v>
      </c>
      <c r="B40" s="106">
        <v>2111</v>
      </c>
      <c r="C40" s="109">
        <f>'ІІ. Розр. з бюджетом'!C24</f>
        <v>0</v>
      </c>
      <c r="D40" s="109">
        <f>'ІІ. Розр. з бюджетом'!D24</f>
        <v>0</v>
      </c>
      <c r="E40" s="109">
        <f>'ІІ. Розр. з бюджетом'!E24</f>
        <v>0</v>
      </c>
      <c r="F40" s="109">
        <f>'ІІ. Розр. з бюджетом'!F24</f>
        <v>0</v>
      </c>
      <c r="G40" s="158">
        <f t="shared" ref="G40:G45" si="0">F40-E40</f>
        <v>0</v>
      </c>
      <c r="H40" s="167" t="e">
        <f t="shared" ref="H40:H45" si="1">(F40/E40)*100</f>
        <v>#DIV/0!</v>
      </c>
    </row>
    <row r="41" spans="1:8" s="5" customFormat="1" ht="37.5">
      <c r="A41" s="116" t="s">
        <v>42</v>
      </c>
      <c r="B41" s="192">
        <v>2112</v>
      </c>
      <c r="C41" s="51">
        <f>'ІІ. Розр. з бюджетом'!C25</f>
        <v>0</v>
      </c>
      <c r="D41" s="51">
        <f>'ІІ. Розр. з бюджетом'!D25</f>
        <v>5.0999999999999996</v>
      </c>
      <c r="E41" s="51">
        <f>'ІІ. Розр. з бюджетом'!E25</f>
        <v>0</v>
      </c>
      <c r="F41" s="51">
        <f>'ІІ. Розр. з бюджетом'!F25</f>
        <v>3.3</v>
      </c>
      <c r="G41" s="159">
        <f t="shared" si="0"/>
        <v>3.3</v>
      </c>
      <c r="H41" s="168" t="e">
        <f t="shared" si="1"/>
        <v>#DIV/0!</v>
      </c>
    </row>
    <row r="42" spans="1:8" s="5" customFormat="1" ht="36.75" customHeight="1">
      <c r="A42" s="117" t="s">
        <v>43</v>
      </c>
      <c r="B42" s="186">
        <v>2113</v>
      </c>
      <c r="C42" s="51" t="str">
        <f>'ІІ. Розр. з бюджетом'!C26</f>
        <v>(    )</v>
      </c>
      <c r="D42" s="51" t="str">
        <f>'ІІ. Розр. з бюджетом'!D26</f>
        <v>(    )</v>
      </c>
      <c r="E42" s="51" t="str">
        <f>'ІІ. Розр. з бюджетом'!E26</f>
        <v>(    )</v>
      </c>
      <c r="F42" s="51" t="str">
        <f>'ІІ. Розр. з бюджетом'!F26</f>
        <v>(    )</v>
      </c>
      <c r="G42" s="159" t="e">
        <f t="shared" si="0"/>
        <v>#VALUE!</v>
      </c>
      <c r="H42" s="168" t="e">
        <f t="shared" si="1"/>
        <v>#VALUE!</v>
      </c>
    </row>
    <row r="43" spans="1:8" s="5" customFormat="1" ht="42" customHeight="1">
      <c r="A43" s="117" t="s">
        <v>44</v>
      </c>
      <c r="B43" s="186">
        <v>2131</v>
      </c>
      <c r="C43" s="51">
        <f>'ІІ. Розр. з бюджетом'!C38</f>
        <v>0</v>
      </c>
      <c r="D43" s="51">
        <f>'ІІ. Розр. з бюджетом'!D38</f>
        <v>0</v>
      </c>
      <c r="E43" s="51">
        <f>'ІІ. Розр. з бюджетом'!E38</f>
        <v>0</v>
      </c>
      <c r="F43" s="51">
        <f>'ІІ. Розр. з бюджетом'!F38</f>
        <v>0</v>
      </c>
      <c r="G43" s="159">
        <f t="shared" si="0"/>
        <v>0</v>
      </c>
      <c r="H43" s="168" t="e">
        <f t="shared" si="1"/>
        <v>#DIV/0!</v>
      </c>
    </row>
    <row r="44" spans="1:8" s="5" customFormat="1" ht="60.75" customHeight="1">
      <c r="A44" s="118" t="s">
        <v>45</v>
      </c>
      <c r="B44" s="186">
        <v>2132</v>
      </c>
      <c r="C44" s="55">
        <f>'ІІ. Розр. з бюджетом'!C39</f>
        <v>0</v>
      </c>
      <c r="D44" s="55">
        <f>'ІІ. Розр. з бюджетом'!D39</f>
        <v>0</v>
      </c>
      <c r="E44" s="55">
        <f>'ІІ. Розр. з бюджетом'!E39</f>
        <v>0</v>
      </c>
      <c r="F44" s="55">
        <f>'ІІ. Розр. з бюджетом'!F39</f>
        <v>0</v>
      </c>
      <c r="G44" s="159">
        <f t="shared" si="0"/>
        <v>0</v>
      </c>
      <c r="H44" s="168" t="e">
        <f t="shared" si="1"/>
        <v>#DIV/0!</v>
      </c>
    </row>
    <row r="45" spans="1:8" s="5" customFormat="1" ht="22.5" customHeight="1" thickBot="1">
      <c r="A45" s="122" t="s">
        <v>46</v>
      </c>
      <c r="B45" s="131">
        <v>2200</v>
      </c>
      <c r="C45" s="132">
        <f>'ІІ. Розр. з бюджетом'!C46</f>
        <v>2868.8999999999996</v>
      </c>
      <c r="D45" s="132">
        <f>'ІІ. Розр. з бюджетом'!D46</f>
        <v>3441.3</v>
      </c>
      <c r="E45" s="132">
        <f>'ІІ. Розр. з бюджетом'!E46</f>
        <v>2250</v>
      </c>
      <c r="F45" s="132">
        <f>'ІІ. Розр. з бюджетом'!F46</f>
        <v>1834.3</v>
      </c>
      <c r="G45" s="160">
        <f t="shared" si="0"/>
        <v>-415.70000000000005</v>
      </c>
      <c r="H45" s="169">
        <f t="shared" si="1"/>
        <v>81.524444444444441</v>
      </c>
    </row>
    <row r="46" spans="1:8" s="5" customFormat="1" ht="28.5" customHeight="1" thickBot="1">
      <c r="A46" s="257" t="s">
        <v>47</v>
      </c>
      <c r="B46" s="258"/>
      <c r="C46" s="258"/>
      <c r="D46" s="258"/>
      <c r="E46" s="258"/>
      <c r="F46" s="258"/>
      <c r="G46" s="258"/>
      <c r="H46" s="259"/>
    </row>
    <row r="47" spans="1:8" s="5" customFormat="1" ht="20.100000000000001" customHeight="1" thickBot="1">
      <c r="A47" s="127" t="s">
        <v>48</v>
      </c>
      <c r="B47" s="128">
        <v>4000</v>
      </c>
      <c r="C47" s="129">
        <f>'IV кап.інв. V кред.'!H6</f>
        <v>1353.3999999999999</v>
      </c>
      <c r="D47" s="129">
        <f>'IV кап.інв. V кред.'!J6</f>
        <v>1246.0999999999999</v>
      </c>
      <c r="E47" s="129">
        <f>'IV кап.інв. V кред.'!L6</f>
        <v>1100</v>
      </c>
      <c r="F47" s="129">
        <f>'IV кап.інв. V кред.'!N6</f>
        <v>1161.5999999999999</v>
      </c>
      <c r="G47" s="161">
        <f>F47-E47</f>
        <v>61.599999999999909</v>
      </c>
      <c r="H47" s="175">
        <f>(F47/E47)*100</f>
        <v>105.59999999999998</v>
      </c>
    </row>
    <row r="48" spans="1:8" s="5" customFormat="1" ht="27" customHeight="1" thickBot="1">
      <c r="A48" s="249" t="s">
        <v>49</v>
      </c>
      <c r="B48" s="250"/>
      <c r="C48" s="250"/>
      <c r="D48" s="250"/>
      <c r="E48" s="250"/>
      <c r="F48" s="250"/>
      <c r="G48" s="250"/>
      <c r="H48" s="251"/>
    </row>
    <row r="49" spans="1:9" s="5" customFormat="1" ht="27" customHeight="1">
      <c r="A49" s="224" t="s">
        <v>381</v>
      </c>
      <c r="B49" s="223"/>
      <c r="C49" s="77" t="s">
        <v>50</v>
      </c>
      <c r="D49" s="77" t="s">
        <v>50</v>
      </c>
      <c r="E49" s="77" t="s">
        <v>50</v>
      </c>
      <c r="F49" s="77" t="s">
        <v>50</v>
      </c>
      <c r="G49" s="77" t="s">
        <v>50</v>
      </c>
      <c r="H49" s="77" t="s">
        <v>50</v>
      </c>
    </row>
    <row r="50" spans="1:9" s="5" customFormat="1" ht="72.75" customHeight="1">
      <c r="A50" s="118" t="s">
        <v>380</v>
      </c>
      <c r="B50" s="215">
        <v>5010</v>
      </c>
      <c r="C50" s="234">
        <f>C38/C34*100%</f>
        <v>5.3987074201856208E-2</v>
      </c>
      <c r="D50" s="230">
        <f>D38/D34</f>
        <v>0.13394321506572704</v>
      </c>
      <c r="E50" s="237">
        <f t="shared" ref="E50:F50" si="2">E38/E34</f>
        <v>7.4074074074074077E-3</v>
      </c>
      <c r="F50" s="230">
        <f t="shared" si="2"/>
        <v>0.18459487483335799</v>
      </c>
      <c r="G50" s="77" t="s">
        <v>50</v>
      </c>
      <c r="H50" s="107" t="s">
        <v>50</v>
      </c>
      <c r="I50" s="155"/>
    </row>
    <row r="51" spans="1:9" s="5" customFormat="1" ht="93.75">
      <c r="A51" s="118" t="s">
        <v>388</v>
      </c>
      <c r="B51" s="215">
        <v>5011</v>
      </c>
      <c r="C51" s="233">
        <f>'І. Інф. до звіт.'!C81/('І. Інф. до звіт.'!C28+'І. Інф. до звіт.'!C39+'І. Інф. до звіт.'!C62+'І. Інф. до звіт.'!C74)</f>
        <v>-3.6722331670134167E-2</v>
      </c>
      <c r="D51" s="217">
        <f>'І. Інф. до звіт.'!D81/('І. Інф. до звіт.'!D28+'І. Інф. до звіт.'!D39+'І. Інф. до звіт.'!D62+'І. Інф. до звіт.'!D74)</f>
        <v>-0.12432260121134835</v>
      </c>
      <c r="E51" s="237">
        <f>'І. Інф. до звіт.'!E81/('І. Інф. до звіт.'!E28+'І. Інф. до звіт.'!E39+'І. Інф. до звіт.'!E62+'І. Інф. до звіт.'!E74)</f>
        <v>1.3997760358342665E-3</v>
      </c>
      <c r="F51" s="217">
        <f>'І. Інф. до звіт.'!F81/('І. Інф. до звіт.'!F28+'І. Інф. до звіт.'!F39+'І. Інф. до звіт.'!F62+'І. Інф. до звіт.'!F74)</f>
        <v>-0.19078509647371916</v>
      </c>
      <c r="G51" s="77" t="s">
        <v>50</v>
      </c>
      <c r="H51" s="107" t="s">
        <v>50</v>
      </c>
      <c r="I51" s="155"/>
    </row>
    <row r="52" spans="1:9" s="5" customFormat="1" ht="234" customHeight="1">
      <c r="A52" s="118" t="s">
        <v>387</v>
      </c>
      <c r="B52" s="59">
        <v>5012</v>
      </c>
      <c r="C52" s="217"/>
      <c r="D52" s="217"/>
      <c r="E52" s="237"/>
      <c r="F52" s="217"/>
      <c r="G52" s="77" t="s">
        <v>50</v>
      </c>
      <c r="H52" s="107" t="s">
        <v>50</v>
      </c>
      <c r="I52" s="155"/>
    </row>
    <row r="53" spans="1:9" s="5" customFormat="1" ht="57.75" customHeight="1">
      <c r="A53" s="118" t="s">
        <v>385</v>
      </c>
      <c r="B53" s="59">
        <v>5013</v>
      </c>
      <c r="C53" s="235">
        <f>C37/C34</f>
        <v>6.6854560474269825E-2</v>
      </c>
      <c r="D53" s="217">
        <f t="shared" ref="D53" si="3">D37/D34</f>
        <v>0.1470309473770964</v>
      </c>
      <c r="E53" s="237">
        <f>E37/E34</f>
        <v>1.5555555555555555E-2</v>
      </c>
      <c r="F53" s="217">
        <f>F37/F34</f>
        <v>0.19994074951858981</v>
      </c>
      <c r="G53" s="77" t="s">
        <v>50</v>
      </c>
      <c r="H53" s="107" t="s">
        <v>50</v>
      </c>
      <c r="I53" s="155"/>
    </row>
    <row r="54" spans="1:9" s="5" customFormat="1" ht="44.25" customHeight="1">
      <c r="A54" s="118" t="s">
        <v>386</v>
      </c>
      <c r="B54" s="59">
        <v>5014</v>
      </c>
      <c r="C54" s="235">
        <f>C38/C91</f>
        <v>0.18321844388007502</v>
      </c>
      <c r="D54" s="217">
        <f>D38/D91</f>
        <v>0.23902812095540632</v>
      </c>
      <c r="E54" s="237">
        <f>E38/E91</f>
        <v>1.6784155756965426E-2</v>
      </c>
      <c r="F54" s="230" t="e">
        <f>F38/F91</f>
        <v>#VALUE!</v>
      </c>
      <c r="G54" s="77" t="s">
        <v>50</v>
      </c>
      <c r="H54" s="107" t="s">
        <v>50</v>
      </c>
      <c r="I54" s="155"/>
    </row>
    <row r="55" spans="1:9" s="5" customFormat="1" ht="44.25" customHeight="1">
      <c r="A55" s="118" t="s">
        <v>383</v>
      </c>
      <c r="B55" s="59">
        <v>5015</v>
      </c>
      <c r="C55" s="235">
        <f>C38/C81</f>
        <v>8.5508897235391831E-2</v>
      </c>
      <c r="D55" s="217">
        <f>D38/D81</f>
        <v>0.15871248742663491</v>
      </c>
      <c r="E55" s="237">
        <f>E38/E81</f>
        <v>1.1531365313653136E-2</v>
      </c>
      <c r="F55" s="230" t="e">
        <f>F38/F81</f>
        <v>#VALUE!</v>
      </c>
      <c r="G55" s="77" t="s">
        <v>50</v>
      </c>
      <c r="H55" s="107" t="s">
        <v>50</v>
      </c>
      <c r="I55" s="155"/>
    </row>
    <row r="56" spans="1:9" s="5" customFormat="1" ht="134.25" customHeight="1">
      <c r="A56" s="121" t="s">
        <v>384</v>
      </c>
      <c r="B56" s="59">
        <v>5016</v>
      </c>
      <c r="C56" s="235"/>
      <c r="D56" s="217"/>
      <c r="E56" s="237"/>
      <c r="F56" s="217"/>
      <c r="G56" s="77" t="s">
        <v>50</v>
      </c>
      <c r="H56" s="107" t="s">
        <v>50</v>
      </c>
      <c r="I56" s="155"/>
    </row>
    <row r="57" spans="1:9" s="5" customFormat="1" ht="24" customHeight="1">
      <c r="A57" s="222" t="s">
        <v>382</v>
      </c>
      <c r="B57" s="59"/>
      <c r="C57" s="77" t="s">
        <v>50</v>
      </c>
      <c r="D57" s="77" t="s">
        <v>50</v>
      </c>
      <c r="E57" s="238" t="s">
        <v>50</v>
      </c>
      <c r="F57" s="77" t="s">
        <v>50</v>
      </c>
      <c r="G57" s="77" t="s">
        <v>50</v>
      </c>
      <c r="H57" s="77" t="s">
        <v>50</v>
      </c>
      <c r="I57" s="155"/>
    </row>
    <row r="58" spans="1:9" s="5" customFormat="1" ht="65.25" customHeight="1">
      <c r="A58" s="45" t="s">
        <v>51</v>
      </c>
      <c r="B58" s="215">
        <v>5020</v>
      </c>
      <c r="C58" s="179">
        <f>C91/(C82+C84)</f>
        <v>0.87513349689709907</v>
      </c>
      <c r="D58" s="217">
        <f>D91/(D82+D84)</f>
        <v>1.976109512599181</v>
      </c>
      <c r="E58" s="237">
        <f>E91/(E82+E84)</f>
        <v>2.195283714075166</v>
      </c>
      <c r="F58" s="179">
        <f>D91/(D82+D84)</f>
        <v>1.976109512599181</v>
      </c>
      <c r="G58" s="77" t="s">
        <v>50</v>
      </c>
      <c r="H58" s="107" t="s">
        <v>50</v>
      </c>
      <c r="I58" s="155"/>
    </row>
    <row r="59" spans="1:9" s="5" customFormat="1" ht="55.5" customHeight="1">
      <c r="A59" s="45" t="s">
        <v>389</v>
      </c>
      <c r="B59" s="215">
        <v>5021</v>
      </c>
      <c r="C59" s="179" t="e">
        <f>C37/'І. Інф. до звіт.'!C85</f>
        <v>#VALUE!</v>
      </c>
      <c r="D59" s="179" t="e">
        <f>D37/'І. Інф. до звіт.'!D85</f>
        <v>#VALUE!</v>
      </c>
      <c r="E59" s="237" t="e">
        <f>E37/'І. Інф. до звіт.'!E85</f>
        <v>#VALUE!</v>
      </c>
      <c r="F59" s="179" t="e">
        <f>F37/'І. Інф. до звіт.'!F85</f>
        <v>#VALUE!</v>
      </c>
      <c r="G59" s="77" t="s">
        <v>50</v>
      </c>
      <c r="H59" s="107" t="s">
        <v>50</v>
      </c>
    </row>
    <row r="60" spans="1:9" s="5" customFormat="1" ht="99.75" customHeight="1">
      <c r="A60" s="45" t="s">
        <v>390</v>
      </c>
      <c r="B60" s="59">
        <v>5022</v>
      </c>
      <c r="C60" s="179">
        <f>((C85+C83)-(C80+C79))/C37</f>
        <v>-0.67131850559674433</v>
      </c>
      <c r="D60" s="179">
        <f t="shared" ref="D60:F60" si="4">((D85+D83)-(D80+D79))/D37</f>
        <v>-1.2259529147982069</v>
      </c>
      <c r="E60" s="237">
        <f t="shared" si="4"/>
        <v>-8.3142857142857149</v>
      </c>
      <c r="F60" s="179" t="e">
        <f t="shared" si="4"/>
        <v>#VALUE!</v>
      </c>
      <c r="G60" s="77" t="s">
        <v>50</v>
      </c>
      <c r="H60" s="107" t="s">
        <v>50</v>
      </c>
    </row>
    <row r="61" spans="1:9" s="5" customFormat="1" ht="58.5" customHeight="1">
      <c r="A61" s="45" t="s">
        <v>391</v>
      </c>
      <c r="B61" s="59">
        <v>5023</v>
      </c>
      <c r="C61" s="236">
        <f>(C83+C85)/C91</f>
        <v>0</v>
      </c>
      <c r="D61" s="179">
        <f t="shared" ref="D61:F61" si="5">(D83+D85)/D91</f>
        <v>0</v>
      </c>
      <c r="E61" s="237">
        <f t="shared" si="5"/>
        <v>0</v>
      </c>
      <c r="F61" s="179" t="e">
        <f t="shared" si="5"/>
        <v>#VALUE!</v>
      </c>
      <c r="G61" s="77" t="s">
        <v>50</v>
      </c>
      <c r="H61" s="107" t="s">
        <v>50</v>
      </c>
    </row>
    <row r="62" spans="1:9" s="5" customFormat="1" ht="61.5" customHeight="1">
      <c r="A62" s="45" t="s">
        <v>392</v>
      </c>
      <c r="B62" s="59">
        <v>5024</v>
      </c>
      <c r="C62" s="179">
        <f>(C82+C84)/C81</f>
        <v>0.53329536358598606</v>
      </c>
      <c r="D62" s="179">
        <f t="shared" ref="D62:F62" si="6">(D82+D84)/D81</f>
        <v>0.33600914071426474</v>
      </c>
      <c r="E62" s="237">
        <f t="shared" si="6"/>
        <v>0.31296125461254615</v>
      </c>
      <c r="F62" s="179" t="e">
        <f t="shared" si="6"/>
        <v>#VALUE!</v>
      </c>
      <c r="G62" s="77" t="s">
        <v>50</v>
      </c>
      <c r="H62" s="107" t="s">
        <v>50</v>
      </c>
    </row>
    <row r="63" spans="1:9" s="5" customFormat="1" ht="21" customHeight="1">
      <c r="A63" s="225" t="s">
        <v>393</v>
      </c>
      <c r="B63" s="59"/>
      <c r="C63" s="77" t="s">
        <v>50</v>
      </c>
      <c r="D63" s="77" t="s">
        <v>50</v>
      </c>
      <c r="E63" s="238" t="s">
        <v>50</v>
      </c>
      <c r="F63" s="77" t="s">
        <v>50</v>
      </c>
      <c r="G63" s="77" t="s">
        <v>50</v>
      </c>
      <c r="H63" s="77" t="s">
        <v>50</v>
      </c>
    </row>
    <row r="64" spans="1:9" s="5" customFormat="1" ht="61.5" customHeight="1">
      <c r="A64" s="45" t="s">
        <v>394</v>
      </c>
      <c r="B64" s="228">
        <v>5030</v>
      </c>
      <c r="C64" s="217">
        <f>C75/C84</f>
        <v>0.89694360406485152</v>
      </c>
      <c r="D64" s="230">
        <f t="shared" ref="D64:F64" si="7">D75/D84</f>
        <v>1.5726844055237454</v>
      </c>
      <c r="E64" s="237">
        <f t="shared" si="7"/>
        <v>0.875</v>
      </c>
      <c r="F64" s="230" t="e">
        <f t="shared" si="7"/>
        <v>#VALUE!</v>
      </c>
      <c r="G64" s="77" t="s">
        <v>50</v>
      </c>
      <c r="H64" s="107" t="s">
        <v>50</v>
      </c>
    </row>
    <row r="65" spans="1:8" s="5" customFormat="1" ht="54" customHeight="1">
      <c r="A65" s="229" t="s">
        <v>395</v>
      </c>
      <c r="B65" s="228">
        <v>5031</v>
      </c>
      <c r="C65" s="179">
        <f>(C75-C76)/C84</f>
        <v>0.20754790163680084</v>
      </c>
      <c r="D65" s="179">
        <f t="shared" ref="D65:F65" si="8">(D75-D76)/D84</f>
        <v>0.73711687436847428</v>
      </c>
      <c r="E65" s="237">
        <f t="shared" si="8"/>
        <v>0.875</v>
      </c>
      <c r="F65" s="179" t="e">
        <f t="shared" si="8"/>
        <v>#VALUE!</v>
      </c>
      <c r="G65" s="77" t="s">
        <v>50</v>
      </c>
      <c r="H65" s="107" t="s">
        <v>50</v>
      </c>
    </row>
    <row r="66" spans="1:8" s="5" customFormat="1" ht="51" customHeight="1">
      <c r="A66" s="229" t="s">
        <v>396</v>
      </c>
      <c r="B66" s="228">
        <v>5032</v>
      </c>
      <c r="C66" s="179">
        <f>(C80+C79)/C84</f>
        <v>0.17911721355984797</v>
      </c>
      <c r="D66" s="179">
        <f t="shared" ref="D66:F66" si="9">(D80+D79)/D84</f>
        <v>0.73664533512967323</v>
      </c>
      <c r="E66" s="237">
        <f t="shared" si="9"/>
        <v>0.77946428571428572</v>
      </c>
      <c r="F66" s="179" t="e">
        <f t="shared" si="9"/>
        <v>#VALUE!</v>
      </c>
      <c r="G66" s="77" t="s">
        <v>50</v>
      </c>
      <c r="H66" s="107" t="s">
        <v>50</v>
      </c>
    </row>
    <row r="67" spans="1:8" s="5" customFormat="1" ht="51" customHeight="1">
      <c r="A67" s="229" t="s">
        <v>397</v>
      </c>
      <c r="B67" s="228">
        <v>5033</v>
      </c>
      <c r="C67" s="236">
        <f>(C77*365)/C34</f>
        <v>0</v>
      </c>
      <c r="D67" s="179">
        <f t="shared" ref="D67:F67" si="10">(D77*365)/D34</f>
        <v>0</v>
      </c>
      <c r="E67" s="237">
        <f t="shared" si="10"/>
        <v>0</v>
      </c>
      <c r="F67" s="179" t="e">
        <f t="shared" si="10"/>
        <v>#VALUE!</v>
      </c>
      <c r="G67" s="77" t="s">
        <v>50</v>
      </c>
      <c r="H67" s="107" t="s">
        <v>50</v>
      </c>
    </row>
    <row r="68" spans="1:8" s="5" customFormat="1" ht="65.25" customHeight="1">
      <c r="A68" s="229" t="s">
        <v>398</v>
      </c>
      <c r="B68" s="219">
        <v>5034</v>
      </c>
      <c r="C68" s="179">
        <f>(C86*365)/C35</f>
        <v>0</v>
      </c>
      <c r="D68" s="179">
        <f t="shared" ref="D68:F68" si="11">(D86*365)/D35</f>
        <v>0</v>
      </c>
      <c r="E68" s="237">
        <f t="shared" si="11"/>
        <v>0</v>
      </c>
      <c r="F68" s="179" t="e">
        <f t="shared" si="11"/>
        <v>#VALUE!</v>
      </c>
      <c r="G68" s="77" t="s">
        <v>50</v>
      </c>
      <c r="H68" s="107" t="s">
        <v>50</v>
      </c>
    </row>
    <row r="69" spans="1:8" s="5" customFormat="1" ht="24" customHeight="1" thickBot="1">
      <c r="A69" s="229" t="s">
        <v>399</v>
      </c>
      <c r="B69" s="219">
        <v>5040</v>
      </c>
      <c r="C69" s="77" t="s">
        <v>50</v>
      </c>
      <c r="D69" s="77" t="s">
        <v>50</v>
      </c>
      <c r="E69" s="77" t="s">
        <v>50</v>
      </c>
      <c r="F69" s="77" t="s">
        <v>50</v>
      </c>
      <c r="G69" s="77" t="s">
        <v>50</v>
      </c>
      <c r="H69" s="107" t="s">
        <v>50</v>
      </c>
    </row>
    <row r="70" spans="1:8" s="5" customFormat="1" ht="44.25" customHeight="1" thickBot="1">
      <c r="A70" s="254" t="s">
        <v>52</v>
      </c>
      <c r="B70" s="255"/>
      <c r="C70" s="255"/>
      <c r="D70" s="255"/>
      <c r="E70" s="255"/>
      <c r="F70" s="255"/>
      <c r="G70" s="255"/>
      <c r="H70" s="256"/>
    </row>
    <row r="71" spans="1:8" s="5" customFormat="1">
      <c r="A71" s="119" t="s">
        <v>53</v>
      </c>
      <c r="B71" s="106">
        <v>6000</v>
      </c>
      <c r="C71" s="109">
        <v>4183.8999999999996</v>
      </c>
      <c r="D71" s="109">
        <v>5570.6</v>
      </c>
      <c r="E71" s="109">
        <v>3356</v>
      </c>
      <c r="F71" s="176" t="s">
        <v>50</v>
      </c>
      <c r="G71" s="162">
        <f>D71-E71</f>
        <v>2214.6000000000004</v>
      </c>
      <c r="H71" s="170">
        <f>(D71/E71)*100</f>
        <v>165.98927294398095</v>
      </c>
    </row>
    <row r="72" spans="1:8" s="5" customFormat="1">
      <c r="A72" s="120" t="s">
        <v>54</v>
      </c>
      <c r="B72" s="59">
        <v>6001</v>
      </c>
      <c r="C72" s="58">
        <f>C73-C74</f>
        <v>3781.9</v>
      </c>
      <c r="D72" s="58">
        <f>D73-D74</f>
        <v>5117.0999999999995</v>
      </c>
      <c r="E72" s="58">
        <f>E73-E74</f>
        <v>5572</v>
      </c>
      <c r="F72" s="46" t="s">
        <v>50</v>
      </c>
      <c r="G72" s="163">
        <f t="shared" ref="G72:G91" si="12">D72-E72</f>
        <v>-454.90000000000055</v>
      </c>
      <c r="H72" s="171">
        <f t="shared" ref="H72:H91" si="13">(D72/E72)*100</f>
        <v>91.835965541995677</v>
      </c>
    </row>
    <row r="73" spans="1:8" s="5" customFormat="1">
      <c r="A73" s="120" t="s">
        <v>55</v>
      </c>
      <c r="B73" s="59">
        <v>6002</v>
      </c>
      <c r="C73" s="55">
        <v>6715.3</v>
      </c>
      <c r="D73" s="55">
        <v>8617.4</v>
      </c>
      <c r="E73" s="55">
        <v>8524</v>
      </c>
      <c r="F73" s="46" t="s">
        <v>50</v>
      </c>
      <c r="G73" s="163">
        <f t="shared" si="12"/>
        <v>93.399999999999636</v>
      </c>
      <c r="H73" s="171">
        <f t="shared" si="13"/>
        <v>101.09572970436413</v>
      </c>
    </row>
    <row r="74" spans="1:8" s="5" customFormat="1">
      <c r="A74" s="120" t="s">
        <v>56</v>
      </c>
      <c r="B74" s="59">
        <v>6003</v>
      </c>
      <c r="C74" s="55">
        <v>2933.4</v>
      </c>
      <c r="D74" s="55">
        <v>3500.3</v>
      </c>
      <c r="E74" s="55">
        <v>2952</v>
      </c>
      <c r="F74" s="46" t="s">
        <v>50</v>
      </c>
      <c r="G74" s="163">
        <f t="shared" si="12"/>
        <v>548.30000000000018</v>
      </c>
      <c r="H74" s="171">
        <f t="shared" si="13"/>
        <v>118.57384823848238</v>
      </c>
    </row>
    <row r="75" spans="1:8" s="5" customFormat="1">
      <c r="A75" s="118" t="s">
        <v>57</v>
      </c>
      <c r="B75" s="192">
        <v>6010</v>
      </c>
      <c r="C75" s="55">
        <v>2312.5</v>
      </c>
      <c r="D75" s="55">
        <v>4669.3</v>
      </c>
      <c r="E75" s="55">
        <v>980</v>
      </c>
      <c r="F75" s="46" t="s">
        <v>50</v>
      </c>
      <c r="G75" s="163">
        <f t="shared" si="12"/>
        <v>3689.3</v>
      </c>
      <c r="H75" s="171">
        <f t="shared" si="13"/>
        <v>476.4591836734694</v>
      </c>
    </row>
    <row r="76" spans="1:8" s="5" customFormat="1">
      <c r="A76" s="118" t="s">
        <v>400</v>
      </c>
      <c r="B76" s="219">
        <v>6011</v>
      </c>
      <c r="C76" s="55">
        <v>1777.4</v>
      </c>
      <c r="D76" s="55">
        <v>2480.8000000000002</v>
      </c>
      <c r="E76" s="55"/>
      <c r="F76" s="46" t="s">
        <v>50</v>
      </c>
      <c r="G76" s="163"/>
      <c r="H76" s="171"/>
    </row>
    <row r="77" spans="1:8" s="5" customFormat="1" ht="20.100000000000001" customHeight="1">
      <c r="A77" s="118" t="s">
        <v>58</v>
      </c>
      <c r="B77" s="192">
        <v>6012</v>
      </c>
      <c r="C77" s="55"/>
      <c r="D77" s="55"/>
      <c r="E77" s="55"/>
      <c r="F77" s="46" t="s">
        <v>50</v>
      </c>
      <c r="G77" s="163">
        <f t="shared" si="12"/>
        <v>0</v>
      </c>
      <c r="H77" s="171" t="e">
        <f t="shared" si="13"/>
        <v>#DIV/0!</v>
      </c>
    </row>
    <row r="78" spans="1:8" s="5" customFormat="1" ht="20.100000000000001" customHeight="1">
      <c r="A78" s="118" t="s">
        <v>59</v>
      </c>
      <c r="B78" s="192">
        <v>6013</v>
      </c>
      <c r="C78" s="55">
        <v>1.3</v>
      </c>
      <c r="D78" s="55"/>
      <c r="E78" s="55"/>
      <c r="F78" s="46" t="s">
        <v>50</v>
      </c>
      <c r="G78" s="163">
        <f t="shared" si="12"/>
        <v>0</v>
      </c>
      <c r="H78" s="171" t="e">
        <f t="shared" si="13"/>
        <v>#DIV/0!</v>
      </c>
    </row>
    <row r="79" spans="1:8" s="5" customFormat="1" ht="20.100000000000001" customHeight="1">
      <c r="A79" s="118" t="s">
        <v>401</v>
      </c>
      <c r="B79" s="219">
        <v>6014</v>
      </c>
      <c r="C79" s="55"/>
      <c r="D79" s="55"/>
      <c r="E79" s="55"/>
      <c r="F79" s="46" t="s">
        <v>50</v>
      </c>
      <c r="G79" s="163"/>
      <c r="H79" s="171"/>
    </row>
    <row r="80" spans="1:8" s="5" customFormat="1" ht="20.100000000000001" customHeight="1">
      <c r="A80" s="118" t="s">
        <v>60</v>
      </c>
      <c r="B80" s="192">
        <v>6015</v>
      </c>
      <c r="C80" s="55">
        <v>461.8</v>
      </c>
      <c r="D80" s="55">
        <v>2187.1</v>
      </c>
      <c r="E80" s="55">
        <v>873</v>
      </c>
      <c r="F80" s="46" t="s">
        <v>50</v>
      </c>
      <c r="G80" s="163">
        <f t="shared" si="12"/>
        <v>1314.1</v>
      </c>
      <c r="H80" s="171">
        <f t="shared" si="13"/>
        <v>250.52691867124855</v>
      </c>
    </row>
    <row r="81" spans="1:8" s="5" customFormat="1" ht="20.100000000000001" customHeight="1">
      <c r="A81" s="115" t="s">
        <v>61</v>
      </c>
      <c r="B81" s="190">
        <v>6020</v>
      </c>
      <c r="C81" s="62">
        <f>C71+C75</f>
        <v>6496.4</v>
      </c>
      <c r="D81" s="62">
        <f t="shared" ref="D81:E81" si="14">D71+D75</f>
        <v>10239.900000000001</v>
      </c>
      <c r="E81" s="62">
        <f t="shared" si="14"/>
        <v>4336</v>
      </c>
      <c r="F81" s="46" t="s">
        <v>50</v>
      </c>
      <c r="G81" s="164">
        <f t="shared" si="12"/>
        <v>5903.9000000000015</v>
      </c>
      <c r="H81" s="172">
        <f t="shared" si="13"/>
        <v>236.16005535055353</v>
      </c>
    </row>
    <row r="82" spans="1:8" s="5" customFormat="1" ht="20.100000000000001" customHeight="1">
      <c r="A82" s="118" t="s">
        <v>402</v>
      </c>
      <c r="B82" s="192">
        <v>6030</v>
      </c>
      <c r="C82" s="55">
        <v>886.3</v>
      </c>
      <c r="D82" s="55">
        <v>471.7</v>
      </c>
      <c r="E82" s="55">
        <v>237</v>
      </c>
      <c r="F82" s="46" t="s">
        <v>50</v>
      </c>
      <c r="G82" s="163">
        <f t="shared" si="12"/>
        <v>234.7</v>
      </c>
      <c r="H82" s="171">
        <f t="shared" si="13"/>
        <v>199.0295358649789</v>
      </c>
    </row>
    <row r="83" spans="1:8" s="5" customFormat="1" ht="20.100000000000001" customHeight="1">
      <c r="A83" s="118" t="s">
        <v>403</v>
      </c>
      <c r="B83" s="219">
        <v>6031</v>
      </c>
      <c r="C83" s="55"/>
      <c r="D83" s="55"/>
      <c r="E83" s="55"/>
      <c r="F83" s="46" t="s">
        <v>50</v>
      </c>
      <c r="G83" s="163"/>
      <c r="H83" s="171"/>
    </row>
    <row r="84" spans="1:8" s="5" customFormat="1" ht="20.100000000000001" customHeight="1">
      <c r="A84" s="118" t="s">
        <v>62</v>
      </c>
      <c r="B84" s="192">
        <v>6040</v>
      </c>
      <c r="C84" s="232">
        <v>2578.1999999999998</v>
      </c>
      <c r="D84" s="55">
        <v>2969</v>
      </c>
      <c r="E84" s="55">
        <v>1120</v>
      </c>
      <c r="F84" s="46" t="s">
        <v>50</v>
      </c>
      <c r="G84" s="163">
        <f t="shared" si="12"/>
        <v>1849</v>
      </c>
      <c r="H84" s="171">
        <f t="shared" si="13"/>
        <v>265.08928571428567</v>
      </c>
    </row>
    <row r="85" spans="1:8" s="5" customFormat="1" ht="20.100000000000001" customHeight="1">
      <c r="A85" s="118" t="s">
        <v>404</v>
      </c>
      <c r="B85" s="219">
        <v>6041</v>
      </c>
      <c r="C85" s="55"/>
      <c r="D85" s="55"/>
      <c r="E85" s="55"/>
      <c r="F85" s="46" t="s">
        <v>50</v>
      </c>
      <c r="G85" s="163"/>
      <c r="H85" s="171"/>
    </row>
    <row r="86" spans="1:8" s="5" customFormat="1" ht="20.100000000000001" customHeight="1">
      <c r="A86" s="118" t="s">
        <v>63</v>
      </c>
      <c r="B86" s="192">
        <v>6042</v>
      </c>
      <c r="C86" s="55"/>
      <c r="D86" s="55"/>
      <c r="E86" s="55"/>
      <c r="F86" s="46" t="s">
        <v>50</v>
      </c>
      <c r="G86" s="163">
        <f t="shared" si="12"/>
        <v>0</v>
      </c>
      <c r="H86" s="171" t="e">
        <f t="shared" si="13"/>
        <v>#DIV/0!</v>
      </c>
    </row>
    <row r="87" spans="1:8" s="5" customFormat="1">
      <c r="A87" s="118" t="s">
        <v>64</v>
      </c>
      <c r="B87" s="192">
        <v>6043</v>
      </c>
      <c r="C87" s="55">
        <v>171</v>
      </c>
      <c r="D87" s="55">
        <v>228</v>
      </c>
      <c r="E87" s="55">
        <v>1120</v>
      </c>
      <c r="F87" s="46" t="s">
        <v>50</v>
      </c>
      <c r="G87" s="163">
        <f t="shared" si="12"/>
        <v>-892</v>
      </c>
      <c r="H87" s="171">
        <f t="shared" si="13"/>
        <v>20.357142857142858</v>
      </c>
    </row>
    <row r="88" spans="1:8" s="5" customFormat="1" ht="20.100000000000001" customHeight="1">
      <c r="A88" s="115" t="s">
        <v>65</v>
      </c>
      <c r="B88" s="190">
        <v>6050</v>
      </c>
      <c r="C88" s="153">
        <f>C82+C84</f>
        <v>3464.5</v>
      </c>
      <c r="D88" s="153">
        <f t="shared" ref="D88:E88" si="15">D82+D84</f>
        <v>3440.7</v>
      </c>
      <c r="E88" s="153">
        <f t="shared" si="15"/>
        <v>1357</v>
      </c>
      <c r="F88" s="177" t="s">
        <v>50</v>
      </c>
      <c r="G88" s="164">
        <f t="shared" si="12"/>
        <v>2083.6999999999998</v>
      </c>
      <c r="H88" s="172">
        <f t="shared" si="13"/>
        <v>253.55195283714073</v>
      </c>
    </row>
    <row r="89" spans="1:8" s="5" customFormat="1" ht="20.100000000000001" customHeight="1">
      <c r="A89" s="118" t="s">
        <v>66</v>
      </c>
      <c r="B89" s="192">
        <v>6060</v>
      </c>
      <c r="C89" s="55"/>
      <c r="D89" s="55"/>
      <c r="E89" s="55"/>
      <c r="F89" s="46" t="s">
        <v>50</v>
      </c>
      <c r="G89" s="163">
        <f t="shared" si="12"/>
        <v>0</v>
      </c>
      <c r="H89" s="171" t="e">
        <f t="shared" si="13"/>
        <v>#DIV/0!</v>
      </c>
    </row>
    <row r="90" spans="1:8" s="5" customFormat="1" ht="20.100000000000001" customHeight="1">
      <c r="A90" s="118" t="s">
        <v>67</v>
      </c>
      <c r="B90" s="192">
        <v>6070</v>
      </c>
      <c r="C90" s="55"/>
      <c r="D90" s="55"/>
      <c r="E90" s="55"/>
      <c r="F90" s="46" t="s">
        <v>50</v>
      </c>
      <c r="G90" s="163">
        <f t="shared" si="12"/>
        <v>0</v>
      </c>
      <c r="H90" s="171" t="e">
        <f t="shared" si="13"/>
        <v>#DIV/0!</v>
      </c>
    </row>
    <row r="91" spans="1:8" s="5" customFormat="1" ht="20.100000000000001" customHeight="1" thickBot="1">
      <c r="A91" s="122" t="s">
        <v>68</v>
      </c>
      <c r="B91" s="89">
        <v>6080</v>
      </c>
      <c r="C91" s="90">
        <f>C81-C88</f>
        <v>3031.8999999999996</v>
      </c>
      <c r="D91" s="90">
        <f t="shared" ref="D91:E91" si="16">D81-D88</f>
        <v>6799.2000000000016</v>
      </c>
      <c r="E91" s="90">
        <f t="shared" si="16"/>
        <v>2979</v>
      </c>
      <c r="F91" s="178" t="s">
        <v>50</v>
      </c>
      <c r="G91" s="165">
        <f t="shared" si="12"/>
        <v>3820.2000000000016</v>
      </c>
      <c r="H91" s="173">
        <f t="shared" si="13"/>
        <v>228.23766364551869</v>
      </c>
    </row>
    <row r="92" spans="1:8" s="5" customFormat="1" ht="20.100000000000001" customHeight="1" thickBot="1">
      <c r="A92" s="257" t="s">
        <v>69</v>
      </c>
      <c r="B92" s="258"/>
      <c r="C92" s="258"/>
      <c r="D92" s="258"/>
      <c r="E92" s="258"/>
      <c r="F92" s="258"/>
      <c r="G92" s="258"/>
      <c r="H92" s="259"/>
    </row>
    <row r="93" spans="1:8" s="5" customFormat="1" ht="20.100000000000001" customHeight="1">
      <c r="A93" s="123" t="s">
        <v>70</v>
      </c>
      <c r="B93" s="110">
        <v>7000</v>
      </c>
      <c r="C93" s="111"/>
      <c r="D93" s="111"/>
      <c r="E93" s="111"/>
      <c r="F93" s="204">
        <f>'IV кап.інв. V кред.'!C38</f>
        <v>0</v>
      </c>
      <c r="G93" s="162">
        <f>F93-E93</f>
        <v>0</v>
      </c>
      <c r="H93" s="170" t="e">
        <f>(F93/E93)*100</f>
        <v>#DIV/0!</v>
      </c>
    </row>
    <row r="94" spans="1:8" s="5" customFormat="1" ht="20.100000000000001" customHeight="1">
      <c r="A94" s="115" t="s">
        <v>71</v>
      </c>
      <c r="B94" s="88" t="s">
        <v>72</v>
      </c>
      <c r="C94" s="204">
        <f>SUM(C95:C97)</f>
        <v>0</v>
      </c>
      <c r="D94" s="204">
        <f>SUM(D95:D97)</f>
        <v>0</v>
      </c>
      <c r="E94" s="204">
        <f>SUM(E95:E97)</f>
        <v>0</v>
      </c>
      <c r="F94" s="204">
        <f>SUM(F95:F97)</f>
        <v>0</v>
      </c>
      <c r="G94" s="163">
        <f>F94-E94</f>
        <v>0</v>
      </c>
      <c r="H94" s="171" t="e">
        <f>(F94/E94)*100</f>
        <v>#DIV/0!</v>
      </c>
    </row>
    <row r="95" spans="1:8" s="5" customFormat="1">
      <c r="A95" s="118" t="s">
        <v>73</v>
      </c>
      <c r="B95" s="87" t="s">
        <v>74</v>
      </c>
      <c r="C95" s="51"/>
      <c r="D95" s="51"/>
      <c r="E95" s="51">
        <f>'IV кап.інв. V кред.'!E29</f>
        <v>0</v>
      </c>
      <c r="F95" s="51">
        <f>'IV кап.інв. V кред.'!F29</f>
        <v>0</v>
      </c>
      <c r="G95" s="163">
        <f t="shared" ref="G95:G102" si="17">F95-E95</f>
        <v>0</v>
      </c>
      <c r="H95" s="171" t="e">
        <f t="shared" ref="H95:H102" si="18">(F95/E95)*100</f>
        <v>#DIV/0!</v>
      </c>
    </row>
    <row r="96" spans="1:8" s="5" customFormat="1" ht="20.100000000000001" customHeight="1">
      <c r="A96" s="118" t="s">
        <v>75</v>
      </c>
      <c r="B96" s="87" t="s">
        <v>76</v>
      </c>
      <c r="C96" s="51"/>
      <c r="D96" s="51"/>
      <c r="E96" s="51">
        <f>'IV кап.інв. V кред.'!E32</f>
        <v>0</v>
      </c>
      <c r="F96" s="51">
        <f>'IV кап.інв. V кред.'!F32</f>
        <v>0</v>
      </c>
      <c r="G96" s="163">
        <f t="shared" si="17"/>
        <v>0</v>
      </c>
      <c r="H96" s="171" t="e">
        <f t="shared" si="18"/>
        <v>#DIV/0!</v>
      </c>
    </row>
    <row r="97" spans="1:8" s="5" customFormat="1" ht="24" customHeight="1">
      <c r="A97" s="118" t="s">
        <v>77</v>
      </c>
      <c r="B97" s="87" t="s">
        <v>78</v>
      </c>
      <c r="C97" s="51"/>
      <c r="D97" s="51"/>
      <c r="E97" s="51">
        <f>'IV кап.інв. V кред.'!E35</f>
        <v>0</v>
      </c>
      <c r="F97" s="51">
        <f>'IV кап.інв. V кред.'!F35</f>
        <v>0</v>
      </c>
      <c r="G97" s="163">
        <f t="shared" si="17"/>
        <v>0</v>
      </c>
      <c r="H97" s="171" t="e">
        <f t="shared" si="18"/>
        <v>#DIV/0!</v>
      </c>
    </row>
    <row r="98" spans="1:8" s="5" customFormat="1" ht="24" customHeight="1">
      <c r="A98" s="115" t="s">
        <v>79</v>
      </c>
      <c r="B98" s="88" t="s">
        <v>405</v>
      </c>
      <c r="C98" s="204">
        <f>SUM(C99:C101)</f>
        <v>0</v>
      </c>
      <c r="D98" s="204">
        <f>SUM(D99:D101)</f>
        <v>0</v>
      </c>
      <c r="E98" s="204">
        <f>SUM(E99:E101)</f>
        <v>0</v>
      </c>
      <c r="F98" s="204">
        <f>SUM(F99:F101)</f>
        <v>0</v>
      </c>
      <c r="G98" s="163">
        <f t="shared" si="17"/>
        <v>0</v>
      </c>
      <c r="H98" s="171" t="e">
        <f t="shared" si="18"/>
        <v>#DIV/0!</v>
      </c>
    </row>
    <row r="99" spans="1:8" s="5" customFormat="1" ht="20.100000000000001" customHeight="1">
      <c r="A99" s="118" t="s">
        <v>73</v>
      </c>
      <c r="B99" s="87" t="s">
        <v>80</v>
      </c>
      <c r="C99" s="51"/>
      <c r="D99" s="51"/>
      <c r="E99" s="51" t="str">
        <f>'IV кап.інв. V кред.'!G29</f>
        <v>(    )</v>
      </c>
      <c r="F99" s="51" t="str">
        <f>'IV кап.інв. V кред.'!H29</f>
        <v>(    )</v>
      </c>
      <c r="G99" s="163" t="e">
        <f t="shared" si="17"/>
        <v>#VALUE!</v>
      </c>
      <c r="H99" s="171" t="e">
        <f t="shared" si="18"/>
        <v>#VALUE!</v>
      </c>
    </row>
    <row r="100" spans="1:8" s="5" customFormat="1" ht="20.100000000000001" customHeight="1">
      <c r="A100" s="118" t="s">
        <v>75</v>
      </c>
      <c r="B100" s="87" t="s">
        <v>81</v>
      </c>
      <c r="C100" s="51"/>
      <c r="D100" s="51"/>
      <c r="E100" s="51" t="str">
        <f>'IV кап.інв. V кред.'!G32</f>
        <v>(    )</v>
      </c>
      <c r="F100" s="51" t="str">
        <f>'IV кап.інв. V кред.'!H32</f>
        <v>(    )</v>
      </c>
      <c r="G100" s="163" t="e">
        <f t="shared" si="17"/>
        <v>#VALUE!</v>
      </c>
      <c r="H100" s="171" t="e">
        <f t="shared" si="18"/>
        <v>#VALUE!</v>
      </c>
    </row>
    <row r="101" spans="1:8" s="5" customFormat="1" ht="20.100000000000001" customHeight="1">
      <c r="A101" s="118" t="s">
        <v>77</v>
      </c>
      <c r="B101" s="87" t="s">
        <v>82</v>
      </c>
      <c r="C101" s="51"/>
      <c r="D101" s="51"/>
      <c r="E101" s="51" t="str">
        <f>'IV кап.інв. V кред.'!G35</f>
        <v>(    )</v>
      </c>
      <c r="F101" s="51" t="str">
        <f>'IV кап.інв. V кред.'!H35</f>
        <v>(    )</v>
      </c>
      <c r="G101" s="163" t="e">
        <f t="shared" si="17"/>
        <v>#VALUE!</v>
      </c>
      <c r="H101" s="171" t="e">
        <f t="shared" si="18"/>
        <v>#VALUE!</v>
      </c>
    </row>
    <row r="102" spans="1:8" s="5" customFormat="1" ht="21.75" customHeight="1" thickBot="1">
      <c r="A102" s="124" t="s">
        <v>83</v>
      </c>
      <c r="B102" s="89">
        <v>7030</v>
      </c>
      <c r="C102" s="90"/>
      <c r="D102" s="90"/>
      <c r="E102" s="90"/>
      <c r="F102" s="180">
        <f>'IV кап.інв. V кред.'!R38</f>
        <v>0</v>
      </c>
      <c r="G102" s="166">
        <f t="shared" si="17"/>
        <v>0</v>
      </c>
      <c r="H102" s="174" t="e">
        <f t="shared" si="18"/>
        <v>#DIV/0!</v>
      </c>
    </row>
    <row r="103" spans="1:8" s="5" customFormat="1" ht="20.100000000000001" customHeight="1" thickBot="1">
      <c r="A103" s="254" t="s">
        <v>84</v>
      </c>
      <c r="B103" s="255"/>
      <c r="C103" s="255"/>
      <c r="D103" s="255"/>
      <c r="E103" s="255"/>
      <c r="F103" s="255"/>
      <c r="G103" s="255"/>
      <c r="H103" s="256"/>
    </row>
    <row r="104" spans="1:8" s="5" customFormat="1" ht="57" customHeight="1">
      <c r="A104" s="125" t="s">
        <v>85</v>
      </c>
      <c r="B104" s="105" t="s">
        <v>86</v>
      </c>
      <c r="C104" s="158">
        <f>SUM(C105:C109)</f>
        <v>57</v>
      </c>
      <c r="D104" s="158">
        <v>57</v>
      </c>
      <c r="E104" s="158">
        <f>SUM(E105:E109)</f>
        <v>60</v>
      </c>
      <c r="F104" s="158">
        <f>SUM(F105:F109)</f>
        <v>57</v>
      </c>
      <c r="G104" s="158">
        <f>F104-E104</f>
        <v>-3</v>
      </c>
      <c r="H104" s="167">
        <f>(F104/E104)*100</f>
        <v>95</v>
      </c>
    </row>
    <row r="105" spans="1:8" s="5" customFormat="1" ht="20.100000000000001" customHeight="1">
      <c r="A105" s="118" t="s">
        <v>87</v>
      </c>
      <c r="B105" s="60" t="s">
        <v>88</v>
      </c>
      <c r="C105" s="156"/>
      <c r="D105" s="156"/>
      <c r="E105" s="156"/>
      <c r="F105" s="156"/>
      <c r="G105" s="163">
        <f t="shared" ref="G105:G124" si="19">F105-E105</f>
        <v>0</v>
      </c>
      <c r="H105" s="171" t="e">
        <f t="shared" ref="H105:H124" si="20">(F105/E105)*100</f>
        <v>#DIV/0!</v>
      </c>
    </row>
    <row r="106" spans="1:8" s="5" customFormat="1" ht="20.100000000000001" customHeight="1">
      <c r="A106" s="118" t="s">
        <v>89</v>
      </c>
      <c r="B106" s="60" t="s">
        <v>90</v>
      </c>
      <c r="C106" s="156"/>
      <c r="D106" s="156"/>
      <c r="E106" s="156"/>
      <c r="F106" s="156"/>
      <c r="G106" s="163">
        <f t="shared" si="19"/>
        <v>0</v>
      </c>
      <c r="H106" s="171" t="e">
        <f t="shared" si="20"/>
        <v>#DIV/0!</v>
      </c>
    </row>
    <row r="107" spans="1:8" s="5" customFormat="1" ht="20.100000000000001" customHeight="1">
      <c r="A107" s="116" t="s">
        <v>91</v>
      </c>
      <c r="B107" s="60" t="s">
        <v>92</v>
      </c>
      <c r="C107" s="156">
        <v>1</v>
      </c>
      <c r="D107" s="156">
        <v>1</v>
      </c>
      <c r="E107" s="156">
        <v>1</v>
      </c>
      <c r="F107" s="156">
        <v>1</v>
      </c>
      <c r="G107" s="163">
        <f t="shared" si="19"/>
        <v>0</v>
      </c>
      <c r="H107" s="171">
        <f t="shared" si="20"/>
        <v>100</v>
      </c>
    </row>
    <row r="108" spans="1:8" s="5" customFormat="1">
      <c r="A108" s="116" t="s">
        <v>93</v>
      </c>
      <c r="B108" s="60" t="s">
        <v>94</v>
      </c>
      <c r="C108" s="156">
        <v>10</v>
      </c>
      <c r="D108" s="156">
        <v>10</v>
      </c>
      <c r="E108" s="156">
        <v>10</v>
      </c>
      <c r="F108" s="156">
        <v>9</v>
      </c>
      <c r="G108" s="163">
        <f t="shared" si="19"/>
        <v>-1</v>
      </c>
      <c r="H108" s="171">
        <f t="shared" si="20"/>
        <v>90</v>
      </c>
    </row>
    <row r="109" spans="1:8" s="5" customFormat="1">
      <c r="A109" s="116" t="s">
        <v>95</v>
      </c>
      <c r="B109" s="60" t="s">
        <v>96</v>
      </c>
      <c r="C109" s="156">
        <v>46</v>
      </c>
      <c r="D109" s="156">
        <v>46</v>
      </c>
      <c r="E109" s="156">
        <v>49</v>
      </c>
      <c r="F109" s="156">
        <v>47</v>
      </c>
      <c r="G109" s="163">
        <f t="shared" si="19"/>
        <v>-2</v>
      </c>
      <c r="H109" s="171">
        <f t="shared" si="20"/>
        <v>95.918367346938766</v>
      </c>
    </row>
    <row r="110" spans="1:8" s="5" customFormat="1" ht="18.75" customHeight="1">
      <c r="A110" s="115" t="s">
        <v>97</v>
      </c>
      <c r="B110" s="86" t="s">
        <v>98</v>
      </c>
      <c r="C110" s="159">
        <f>'І. Інф. до звіт.'!C108</f>
        <v>7123.8</v>
      </c>
      <c r="D110" s="159">
        <f>'І. Інф. до звіт.'!D108</f>
        <v>7819</v>
      </c>
      <c r="E110" s="159">
        <f>'І. Інф. до звіт.'!E108</f>
        <v>5000</v>
      </c>
      <c r="F110" s="159">
        <f>'І. Інф. до звіт.'!F108</f>
        <v>4154</v>
      </c>
      <c r="G110" s="164">
        <f t="shared" si="19"/>
        <v>-846</v>
      </c>
      <c r="H110" s="172">
        <f t="shared" si="20"/>
        <v>83.08</v>
      </c>
    </row>
    <row r="111" spans="1:8" s="5" customFormat="1" ht="18.75" customHeight="1">
      <c r="A111" s="118" t="s">
        <v>87</v>
      </c>
      <c r="B111" s="60" t="s">
        <v>99</v>
      </c>
      <c r="C111" s="156"/>
      <c r="D111" s="156"/>
      <c r="E111" s="156"/>
      <c r="F111" s="156"/>
      <c r="G111" s="163">
        <f t="shared" si="19"/>
        <v>0</v>
      </c>
      <c r="H111" s="171" t="e">
        <f t="shared" si="20"/>
        <v>#DIV/0!</v>
      </c>
    </row>
    <row r="112" spans="1:8" s="5" customFormat="1">
      <c r="A112" s="118" t="s">
        <v>89</v>
      </c>
      <c r="B112" s="60" t="s">
        <v>100</v>
      </c>
      <c r="C112" s="156"/>
      <c r="D112" s="156"/>
      <c r="E112" s="156"/>
      <c r="F112" s="156"/>
      <c r="G112" s="163">
        <f t="shared" si="19"/>
        <v>0</v>
      </c>
      <c r="H112" s="171" t="e">
        <f t="shared" si="20"/>
        <v>#DIV/0!</v>
      </c>
    </row>
    <row r="113" spans="1:8" s="5" customFormat="1">
      <c r="A113" s="118" t="s">
        <v>91</v>
      </c>
      <c r="B113" s="60" t="s">
        <v>101</v>
      </c>
      <c r="C113" s="156">
        <v>433.2</v>
      </c>
      <c r="D113" s="156">
        <f>239.9+229</f>
        <v>468.9</v>
      </c>
      <c r="E113" s="156">
        <v>141</v>
      </c>
      <c r="F113" s="156">
        <v>229</v>
      </c>
      <c r="G113" s="163">
        <f t="shared" si="19"/>
        <v>88</v>
      </c>
      <c r="H113" s="171">
        <f t="shared" si="20"/>
        <v>162.41134751773049</v>
      </c>
    </row>
    <row r="114" spans="1:8" s="5" customFormat="1">
      <c r="A114" s="118" t="s">
        <v>93</v>
      </c>
      <c r="B114" s="60" t="s">
        <v>102</v>
      </c>
      <c r="C114" s="156">
        <v>1031.2</v>
      </c>
      <c r="D114" s="156">
        <f>601.3+687</f>
        <v>1288.3</v>
      </c>
      <c r="E114" s="156">
        <v>709</v>
      </c>
      <c r="F114" s="156">
        <v>687</v>
      </c>
      <c r="G114" s="163">
        <f t="shared" si="19"/>
        <v>-22</v>
      </c>
      <c r="H114" s="171">
        <f t="shared" si="20"/>
        <v>96.897038081805363</v>
      </c>
    </row>
    <row r="115" spans="1:8" s="5" customFormat="1" ht="20.100000000000001" customHeight="1">
      <c r="A115" s="118" t="s">
        <v>95</v>
      </c>
      <c r="B115" s="60" t="s">
        <v>103</v>
      </c>
      <c r="C115" s="156">
        <v>5659.4</v>
      </c>
      <c r="D115" s="156">
        <f>2823.8+3238</f>
        <v>6061.8</v>
      </c>
      <c r="E115" s="156">
        <v>4150</v>
      </c>
      <c r="F115" s="156">
        <v>3237.7</v>
      </c>
      <c r="G115" s="163">
        <f t="shared" si="19"/>
        <v>-912.30000000000018</v>
      </c>
      <c r="H115" s="171">
        <f t="shared" si="20"/>
        <v>78.016867469879514</v>
      </c>
    </row>
    <row r="116" spans="1:8" s="5" customFormat="1" ht="36" customHeight="1">
      <c r="A116" s="115" t="s">
        <v>104</v>
      </c>
      <c r="B116" s="86" t="s">
        <v>105</v>
      </c>
      <c r="C116" s="159">
        <f>C110/C104/6*1000</f>
        <v>20829.824561403508</v>
      </c>
      <c r="D116" s="159">
        <f>D110/D104/6*1000</f>
        <v>22862.573099415204</v>
      </c>
      <c r="E116" s="159">
        <f>E110/E104/3*1000</f>
        <v>27777.777777777774</v>
      </c>
      <c r="F116" s="159">
        <f>F110/F104/3*1000</f>
        <v>24292.397660818711</v>
      </c>
      <c r="G116" s="164">
        <f t="shared" si="19"/>
        <v>-3485.3801169590624</v>
      </c>
      <c r="H116" s="172">
        <f t="shared" si="20"/>
        <v>87.452631578947376</v>
      </c>
    </row>
    <row r="117" spans="1:8" s="5" customFormat="1" ht="20.100000000000001" customHeight="1">
      <c r="A117" s="118" t="s">
        <v>106</v>
      </c>
      <c r="B117" s="60" t="s">
        <v>107</v>
      </c>
      <c r="C117" s="181" t="e">
        <f t="shared" ref="C117:F118" si="21">C111/C105/12*1000</f>
        <v>#DIV/0!</v>
      </c>
      <c r="D117" s="181" t="e">
        <f t="shared" si="21"/>
        <v>#DIV/0!</v>
      </c>
      <c r="E117" s="181" t="e">
        <f>E111/E105/12*1000</f>
        <v>#DIV/0!</v>
      </c>
      <c r="F117" s="181" t="e">
        <f t="shared" si="21"/>
        <v>#DIV/0!</v>
      </c>
      <c r="G117" s="163" t="e">
        <f t="shared" si="19"/>
        <v>#DIV/0!</v>
      </c>
      <c r="H117" s="171" t="e">
        <f t="shared" si="20"/>
        <v>#DIV/0!</v>
      </c>
    </row>
    <row r="118" spans="1:8" s="5" customFormat="1" ht="20.100000000000001" customHeight="1">
      <c r="A118" s="118" t="s">
        <v>108</v>
      </c>
      <c r="B118" s="60" t="s">
        <v>109</v>
      </c>
      <c r="C118" s="181" t="e">
        <f t="shared" si="21"/>
        <v>#DIV/0!</v>
      </c>
      <c r="D118" s="181" t="e">
        <f t="shared" si="21"/>
        <v>#DIV/0!</v>
      </c>
      <c r="E118" s="181" t="e">
        <f t="shared" si="21"/>
        <v>#DIV/0!</v>
      </c>
      <c r="F118" s="181" t="e">
        <f t="shared" si="21"/>
        <v>#DIV/0!</v>
      </c>
      <c r="G118" s="163" t="e">
        <f t="shared" si="19"/>
        <v>#DIV/0!</v>
      </c>
      <c r="H118" s="171" t="e">
        <f t="shared" si="20"/>
        <v>#DIV/0!</v>
      </c>
    </row>
    <row r="119" spans="1:8" s="5" customFormat="1" ht="20.100000000000001" customHeight="1">
      <c r="A119" s="116" t="s">
        <v>91</v>
      </c>
      <c r="B119" s="60" t="s">
        <v>110</v>
      </c>
      <c r="C119" s="181">
        <f>SUM(C120:C122)</f>
        <v>72200</v>
      </c>
      <c r="D119" s="181">
        <f>SUM(D120:D122)</f>
        <v>79965.8</v>
      </c>
      <c r="E119" s="181">
        <f>SUM(E120:E122)</f>
        <v>40990</v>
      </c>
      <c r="F119" s="181">
        <f>SUM(F120:F122)</f>
        <v>76333</v>
      </c>
      <c r="G119" s="163">
        <f t="shared" si="19"/>
        <v>35343</v>
      </c>
      <c r="H119" s="171">
        <f t="shared" si="20"/>
        <v>186.22346913881432</v>
      </c>
    </row>
    <row r="120" spans="1:8" s="5" customFormat="1" ht="20.100000000000001" customHeight="1">
      <c r="A120" s="142" t="s">
        <v>111</v>
      </c>
      <c r="B120" s="143" t="s">
        <v>112</v>
      </c>
      <c r="C120" s="157">
        <v>35784</v>
      </c>
      <c r="D120" s="157">
        <v>41600</v>
      </c>
      <c r="E120" s="157">
        <v>40320</v>
      </c>
      <c r="F120" s="157">
        <v>41600</v>
      </c>
      <c r="G120" s="163">
        <f>F120-E120</f>
        <v>1280</v>
      </c>
      <c r="H120" s="171">
        <f>(F120/E120)*100</f>
        <v>103.17460317460319</v>
      </c>
    </row>
    <row r="121" spans="1:8" s="5" customFormat="1">
      <c r="A121" s="142" t="s">
        <v>113</v>
      </c>
      <c r="B121" s="143" t="s">
        <v>114</v>
      </c>
      <c r="C121" s="157">
        <v>18208</v>
      </c>
      <c r="D121" s="157">
        <v>19182.900000000001</v>
      </c>
      <c r="E121" s="157"/>
      <c r="F121" s="157"/>
      <c r="G121" s="163">
        <f>F121-E121</f>
        <v>0</v>
      </c>
      <c r="H121" s="171" t="e">
        <f>(F121/E121)*100</f>
        <v>#DIV/0!</v>
      </c>
    </row>
    <row r="122" spans="1:8" s="5" customFormat="1" ht="20.100000000000001" customHeight="1">
      <c r="A122" s="142" t="s">
        <v>115</v>
      </c>
      <c r="B122" s="143" t="s">
        <v>116</v>
      </c>
      <c r="C122" s="157">
        <v>18208</v>
      </c>
      <c r="D122" s="157">
        <v>19182.900000000001</v>
      </c>
      <c r="E122" s="157">
        <v>670</v>
      </c>
      <c r="F122" s="157">
        <v>34733</v>
      </c>
      <c r="G122" s="163">
        <f>F122-E122</f>
        <v>34063</v>
      </c>
      <c r="H122" s="171">
        <f>(F122/E122)*100</f>
        <v>5184.0298507462685</v>
      </c>
    </row>
    <row r="123" spans="1:8" s="5" customFormat="1" ht="20.100000000000001" customHeight="1">
      <c r="A123" s="116" t="s">
        <v>117</v>
      </c>
      <c r="B123" s="60" t="s">
        <v>118</v>
      </c>
      <c r="C123" s="181">
        <f>C114/C108/6*1000</f>
        <v>17186.666666666668</v>
      </c>
      <c r="D123" s="181">
        <f>D114/D108/6*1000</f>
        <v>21471.666666666664</v>
      </c>
      <c r="E123" s="181">
        <f>E114/E108/3*1000</f>
        <v>23633.333333333336</v>
      </c>
      <c r="F123" s="181">
        <f>F114/F108/3*1000</f>
        <v>25444.444444444442</v>
      </c>
      <c r="G123" s="163">
        <f t="shared" si="19"/>
        <v>1811.1111111111059</v>
      </c>
      <c r="H123" s="171">
        <f t="shared" si="20"/>
        <v>107.66337564645036</v>
      </c>
    </row>
    <row r="124" spans="1:8" s="5" customFormat="1" ht="20.100000000000001" customHeight="1" thickBot="1">
      <c r="A124" s="126" t="s">
        <v>119</v>
      </c>
      <c r="B124" s="91" t="s">
        <v>120</v>
      </c>
      <c r="C124" s="182">
        <f>C115/C109/6*1000</f>
        <v>20505.072463768116</v>
      </c>
      <c r="D124" s="182">
        <f>D115/D109/6*1000</f>
        <v>21963.043478260872</v>
      </c>
      <c r="E124" s="182">
        <f>E115/E109/3*1000</f>
        <v>28231.292517006805</v>
      </c>
      <c r="F124" s="182">
        <f>F115/F109/3*1000</f>
        <v>22962.411347517729</v>
      </c>
      <c r="G124" s="166">
        <f t="shared" si="19"/>
        <v>-5268.8811694890755</v>
      </c>
      <c r="H124" s="174">
        <f t="shared" si="20"/>
        <v>81.33673417072545</v>
      </c>
    </row>
    <row r="125" spans="1:8" s="144" customFormat="1" ht="20.100000000000001" customHeight="1">
      <c r="A125" s="260" t="s">
        <v>121</v>
      </c>
      <c r="B125" s="260"/>
      <c r="C125" s="260"/>
      <c r="D125" s="260"/>
      <c r="E125" s="260"/>
      <c r="F125" s="260"/>
      <c r="G125" s="260"/>
      <c r="H125" s="260"/>
    </row>
    <row r="126" spans="1:8" s="144" customFormat="1" ht="20.100000000000001" customHeight="1">
      <c r="A126" s="5"/>
      <c r="B126" s="71"/>
      <c r="C126" s="72"/>
      <c r="D126" s="72"/>
      <c r="E126" s="73"/>
      <c r="F126" s="73"/>
      <c r="G126" s="73"/>
      <c r="H126" s="74"/>
    </row>
    <row r="127" spans="1:8" s="144" customFormat="1" ht="20.100000000000001" customHeight="1">
      <c r="A127" s="188"/>
      <c r="B127" s="189"/>
      <c r="C127" s="189"/>
      <c r="D127" s="189"/>
      <c r="E127" s="189"/>
      <c r="F127" s="189"/>
      <c r="G127" s="189"/>
      <c r="H127" s="189"/>
    </row>
    <row r="128" spans="1:8" s="5" customFormat="1" ht="20.100000000000001" customHeight="1">
      <c r="A128" s="243" t="s">
        <v>437</v>
      </c>
      <c r="B128" s="1"/>
      <c r="C128" s="252" t="s">
        <v>122</v>
      </c>
      <c r="D128" s="252"/>
      <c r="E128" s="252"/>
      <c r="F128" s="252"/>
      <c r="G128" s="218" t="s">
        <v>431</v>
      </c>
      <c r="H128" s="218"/>
    </row>
    <row r="129" spans="1:9" s="5" customFormat="1" ht="20.100000000000001" customHeight="1">
      <c r="A129" s="196"/>
      <c r="B129" s="210"/>
      <c r="C129" s="253" t="s">
        <v>123</v>
      </c>
      <c r="D129" s="253"/>
      <c r="E129" s="253"/>
      <c r="F129" s="253"/>
      <c r="G129" s="218"/>
      <c r="H129" s="218"/>
    </row>
    <row r="130" spans="1:9" s="5" customFormat="1" ht="21.75" customHeight="1">
      <c r="A130" s="37"/>
      <c r="B130" s="189"/>
      <c r="C130" s="189"/>
      <c r="D130" s="189"/>
      <c r="E130" s="189"/>
      <c r="F130" s="189"/>
      <c r="G130" s="189"/>
      <c r="H130" s="189"/>
    </row>
    <row r="131" spans="1:9" s="5" customFormat="1" ht="20.100000000000001" customHeight="1">
      <c r="A131" s="3"/>
      <c r="B131" s="189"/>
      <c r="C131" s="189"/>
      <c r="D131" s="189"/>
      <c r="E131" s="189"/>
      <c r="F131" s="189"/>
      <c r="G131" s="189"/>
      <c r="H131" s="189"/>
    </row>
    <row r="132" spans="1:9">
      <c r="A132" s="37"/>
      <c r="I132" s="210"/>
    </row>
    <row r="133" spans="1:9" ht="18.75" customHeight="1">
      <c r="A133" s="37"/>
      <c r="I133" s="218"/>
    </row>
    <row r="134" spans="1:9" s="2" customFormat="1" ht="20.100000000000001" customHeight="1">
      <c r="A134" s="37"/>
      <c r="B134" s="15"/>
      <c r="C134" s="15"/>
      <c r="D134" s="15"/>
      <c r="E134" s="15"/>
      <c r="F134" s="15"/>
      <c r="G134" s="15"/>
      <c r="H134" s="15"/>
      <c r="I134" s="218"/>
    </row>
    <row r="135" spans="1:9">
      <c r="A135" s="37"/>
      <c r="I135" s="210"/>
    </row>
    <row r="136" spans="1:9">
      <c r="A136" s="37"/>
      <c r="I136" s="210"/>
    </row>
    <row r="137" spans="1:9">
      <c r="A137" s="37"/>
    </row>
    <row r="138" spans="1:9">
      <c r="A138" s="37"/>
    </row>
    <row r="139" spans="1:9">
      <c r="A139" s="37"/>
    </row>
    <row r="140" spans="1:9">
      <c r="A140" s="37"/>
    </row>
    <row r="141" spans="1:9">
      <c r="A141" s="37"/>
    </row>
    <row r="142" spans="1:9">
      <c r="A142" s="37"/>
    </row>
    <row r="143" spans="1:9">
      <c r="A143" s="37"/>
    </row>
    <row r="144" spans="1:9">
      <c r="A144" s="37"/>
    </row>
    <row r="145" spans="1:1">
      <c r="A145" s="37"/>
    </row>
    <row r="146" spans="1:1">
      <c r="A146" s="37"/>
    </row>
    <row r="147" spans="1:1">
      <c r="A147" s="37"/>
    </row>
    <row r="148" spans="1:1">
      <c r="A148" s="37"/>
    </row>
    <row r="149" spans="1:1">
      <c r="A149" s="37"/>
    </row>
    <row r="150" spans="1:1">
      <c r="A150" s="37"/>
    </row>
    <row r="151" spans="1:1">
      <c r="A151" s="37"/>
    </row>
    <row r="152" spans="1:1">
      <c r="A152" s="37"/>
    </row>
    <row r="153" spans="1:1">
      <c r="A153" s="37"/>
    </row>
    <row r="154" spans="1:1">
      <c r="A154" s="37"/>
    </row>
    <row r="155" spans="1:1">
      <c r="A155" s="37"/>
    </row>
    <row r="156" spans="1:1">
      <c r="A156" s="37"/>
    </row>
    <row r="157" spans="1:1">
      <c r="A157" s="37"/>
    </row>
    <row r="158" spans="1:1">
      <c r="A158" s="37"/>
    </row>
    <row r="159" spans="1:1">
      <c r="A159" s="37"/>
    </row>
    <row r="160" spans="1:1">
      <c r="A160" s="37"/>
    </row>
    <row r="161" spans="1:1">
      <c r="A161" s="37"/>
    </row>
    <row r="162" spans="1:1">
      <c r="A162" s="37"/>
    </row>
    <row r="163" spans="1:1">
      <c r="A163" s="37"/>
    </row>
    <row r="164" spans="1:1">
      <c r="A164" s="37"/>
    </row>
    <row r="165" spans="1:1">
      <c r="A165" s="37"/>
    </row>
    <row r="166" spans="1:1">
      <c r="A166" s="37"/>
    </row>
    <row r="167" spans="1:1">
      <c r="A167" s="37"/>
    </row>
    <row r="168" spans="1:1">
      <c r="A168" s="37"/>
    </row>
    <row r="169" spans="1:1">
      <c r="A169" s="37"/>
    </row>
    <row r="170" spans="1:1">
      <c r="A170" s="37"/>
    </row>
    <row r="171" spans="1:1">
      <c r="A171" s="37"/>
    </row>
    <row r="172" spans="1:1">
      <c r="A172" s="37"/>
    </row>
    <row r="173" spans="1:1">
      <c r="A173" s="37"/>
    </row>
    <row r="174" spans="1:1">
      <c r="A174" s="37"/>
    </row>
    <row r="175" spans="1:1">
      <c r="A175" s="37"/>
    </row>
    <row r="176" spans="1:1">
      <c r="A176" s="37"/>
    </row>
    <row r="177" spans="1:1">
      <c r="A177" s="37"/>
    </row>
    <row r="178" spans="1:1">
      <c r="A178" s="37"/>
    </row>
    <row r="179" spans="1:1">
      <c r="A179" s="37"/>
    </row>
    <row r="180" spans="1:1">
      <c r="A180" s="37"/>
    </row>
    <row r="181" spans="1:1">
      <c r="A181" s="37"/>
    </row>
    <row r="182" spans="1:1">
      <c r="A182" s="37"/>
    </row>
    <row r="183" spans="1:1">
      <c r="A183" s="37"/>
    </row>
    <row r="184" spans="1:1">
      <c r="A184" s="37"/>
    </row>
    <row r="185" spans="1:1">
      <c r="A185" s="37"/>
    </row>
    <row r="186" spans="1:1">
      <c r="A186" s="37"/>
    </row>
    <row r="187" spans="1:1">
      <c r="A187" s="37"/>
    </row>
    <row r="188" spans="1:1">
      <c r="A188" s="37"/>
    </row>
    <row r="189" spans="1:1">
      <c r="A189" s="37"/>
    </row>
    <row r="190" spans="1:1">
      <c r="A190" s="37"/>
    </row>
    <row r="191" spans="1:1">
      <c r="A191" s="37"/>
    </row>
    <row r="192" spans="1:1">
      <c r="A192" s="37"/>
    </row>
    <row r="193" spans="1:1">
      <c r="A193" s="37"/>
    </row>
    <row r="194" spans="1:1">
      <c r="A194" s="37"/>
    </row>
    <row r="195" spans="1:1">
      <c r="A195" s="37"/>
    </row>
    <row r="196" spans="1:1">
      <c r="A196" s="37"/>
    </row>
    <row r="197" spans="1:1">
      <c r="A197" s="37"/>
    </row>
    <row r="198" spans="1:1">
      <c r="A198" s="37"/>
    </row>
    <row r="199" spans="1:1">
      <c r="A199" s="37"/>
    </row>
    <row r="200" spans="1:1">
      <c r="A200" s="37"/>
    </row>
    <row r="201" spans="1:1">
      <c r="A201" s="37"/>
    </row>
    <row r="202" spans="1:1">
      <c r="A202" s="37"/>
    </row>
    <row r="203" spans="1:1">
      <c r="A203" s="37"/>
    </row>
    <row r="204" spans="1:1">
      <c r="A204" s="37"/>
    </row>
    <row r="205" spans="1:1">
      <c r="A205" s="37"/>
    </row>
    <row r="206" spans="1:1">
      <c r="A206" s="37"/>
    </row>
    <row r="207" spans="1:1">
      <c r="A207" s="37"/>
    </row>
    <row r="208" spans="1:1">
      <c r="A208" s="37"/>
    </row>
    <row r="209" spans="1:1">
      <c r="A209" s="37"/>
    </row>
    <row r="210" spans="1:1">
      <c r="A210" s="37"/>
    </row>
    <row r="211" spans="1:1">
      <c r="A211" s="37"/>
    </row>
    <row r="212" spans="1:1">
      <c r="A212" s="37"/>
    </row>
    <row r="213" spans="1:1">
      <c r="A213" s="37"/>
    </row>
    <row r="214" spans="1:1">
      <c r="A214" s="37"/>
    </row>
    <row r="215" spans="1:1">
      <c r="A215" s="37"/>
    </row>
    <row r="216" spans="1:1">
      <c r="A216" s="37"/>
    </row>
    <row r="217" spans="1:1">
      <c r="A217" s="37"/>
    </row>
    <row r="218" spans="1:1">
      <c r="A218" s="37"/>
    </row>
    <row r="219" spans="1:1">
      <c r="A219" s="37"/>
    </row>
    <row r="220" spans="1:1">
      <c r="A220" s="37"/>
    </row>
    <row r="221" spans="1:1">
      <c r="A221" s="37"/>
    </row>
    <row r="222" spans="1:1">
      <c r="A222" s="37"/>
    </row>
    <row r="223" spans="1:1">
      <c r="A223" s="37"/>
    </row>
    <row r="224" spans="1:1">
      <c r="A224" s="37"/>
    </row>
    <row r="225" spans="1:1">
      <c r="A225" s="37"/>
    </row>
    <row r="226" spans="1:1">
      <c r="A226" s="37"/>
    </row>
    <row r="227" spans="1:1">
      <c r="A227" s="37"/>
    </row>
    <row r="228" spans="1:1">
      <c r="A228" s="37"/>
    </row>
    <row r="229" spans="1:1">
      <c r="A229" s="37"/>
    </row>
    <row r="230" spans="1:1">
      <c r="A230" s="37"/>
    </row>
    <row r="231" spans="1:1">
      <c r="A231" s="37"/>
    </row>
    <row r="232" spans="1:1">
      <c r="A232" s="37"/>
    </row>
    <row r="233" spans="1:1">
      <c r="A233" s="37"/>
    </row>
    <row r="234" spans="1:1">
      <c r="A234" s="37"/>
    </row>
    <row r="235" spans="1:1">
      <c r="A235" s="37"/>
    </row>
    <row r="236" spans="1:1">
      <c r="A236" s="37"/>
    </row>
    <row r="237" spans="1:1">
      <c r="A237" s="37"/>
    </row>
    <row r="238" spans="1:1">
      <c r="A238" s="37"/>
    </row>
    <row r="239" spans="1:1">
      <c r="A239" s="37"/>
    </row>
    <row r="240" spans="1:1">
      <c r="A240" s="37"/>
    </row>
    <row r="241" spans="1:1">
      <c r="A241" s="37"/>
    </row>
    <row r="242" spans="1:1">
      <c r="A242" s="37"/>
    </row>
    <row r="243" spans="1:1">
      <c r="A243" s="37"/>
    </row>
    <row r="244" spans="1:1">
      <c r="A244" s="37"/>
    </row>
    <row r="245" spans="1:1">
      <c r="A245" s="37"/>
    </row>
    <row r="246" spans="1:1">
      <c r="A246" s="37"/>
    </row>
    <row r="247" spans="1:1">
      <c r="A247" s="37"/>
    </row>
    <row r="248" spans="1:1">
      <c r="A248" s="37"/>
    </row>
    <row r="249" spans="1:1">
      <c r="A249" s="37"/>
    </row>
    <row r="250" spans="1:1">
      <c r="A250" s="37"/>
    </row>
    <row r="251" spans="1:1">
      <c r="A251" s="37"/>
    </row>
    <row r="252" spans="1:1">
      <c r="A252" s="37"/>
    </row>
    <row r="253" spans="1:1">
      <c r="A253" s="37"/>
    </row>
    <row r="254" spans="1:1">
      <c r="A254" s="37"/>
    </row>
    <row r="255" spans="1:1">
      <c r="A255" s="37"/>
    </row>
    <row r="256" spans="1:1">
      <c r="A256" s="37"/>
    </row>
    <row r="257" spans="1:1">
      <c r="A257" s="37"/>
    </row>
    <row r="258" spans="1:1">
      <c r="A258" s="37"/>
    </row>
    <row r="259" spans="1:1">
      <c r="A259" s="37"/>
    </row>
    <row r="260" spans="1:1">
      <c r="A260" s="37"/>
    </row>
    <row r="261" spans="1:1">
      <c r="A261" s="37"/>
    </row>
    <row r="262" spans="1:1">
      <c r="A262" s="37"/>
    </row>
    <row r="263" spans="1:1">
      <c r="A263" s="37"/>
    </row>
    <row r="264" spans="1:1">
      <c r="A264" s="37"/>
    </row>
    <row r="265" spans="1:1">
      <c r="A265" s="37"/>
    </row>
    <row r="266" spans="1:1">
      <c r="A266" s="37"/>
    </row>
    <row r="267" spans="1:1">
      <c r="A267" s="37"/>
    </row>
    <row r="268" spans="1:1">
      <c r="A268" s="37"/>
    </row>
    <row r="269" spans="1:1">
      <c r="A269" s="37"/>
    </row>
    <row r="270" spans="1:1">
      <c r="A270" s="37"/>
    </row>
    <row r="271" spans="1:1">
      <c r="A271" s="37"/>
    </row>
    <row r="272" spans="1:1">
      <c r="A272" s="37"/>
    </row>
    <row r="273" spans="1:1">
      <c r="A273" s="37"/>
    </row>
    <row r="274" spans="1:1">
      <c r="A274" s="37"/>
    </row>
    <row r="275" spans="1:1">
      <c r="A275" s="37"/>
    </row>
    <row r="276" spans="1:1">
      <c r="A276" s="37"/>
    </row>
    <row r="277" spans="1:1">
      <c r="A277" s="37"/>
    </row>
    <row r="278" spans="1:1">
      <c r="A278" s="37"/>
    </row>
    <row r="279" spans="1:1">
      <c r="A279" s="37"/>
    </row>
    <row r="280" spans="1:1">
      <c r="A280" s="37"/>
    </row>
    <row r="281" spans="1:1">
      <c r="A281" s="37"/>
    </row>
    <row r="282" spans="1:1">
      <c r="A282" s="37"/>
    </row>
    <row r="283" spans="1:1">
      <c r="A283" s="37"/>
    </row>
    <row r="284" spans="1:1">
      <c r="A284" s="37"/>
    </row>
    <row r="285" spans="1:1">
      <c r="A285" s="37"/>
    </row>
    <row r="286" spans="1:1">
      <c r="A286" s="37"/>
    </row>
    <row r="287" spans="1:1">
      <c r="A287" s="37"/>
    </row>
    <row r="288" spans="1:1">
      <c r="A288" s="37"/>
    </row>
    <row r="289" spans="1:1">
      <c r="A289" s="32"/>
    </row>
    <row r="290" spans="1:1">
      <c r="A290" s="32"/>
    </row>
    <row r="291" spans="1:1">
      <c r="A291" s="32"/>
    </row>
    <row r="292" spans="1:1">
      <c r="A292" s="32"/>
    </row>
    <row r="293" spans="1:1">
      <c r="A293" s="32"/>
    </row>
    <row r="294" spans="1:1">
      <c r="A294" s="32"/>
    </row>
    <row r="295" spans="1:1">
      <c r="A295" s="32"/>
    </row>
    <row r="296" spans="1:1">
      <c r="A296" s="32"/>
    </row>
    <row r="297" spans="1:1">
      <c r="A297" s="32"/>
    </row>
    <row r="298" spans="1:1">
      <c r="A298" s="32"/>
    </row>
    <row r="299" spans="1:1">
      <c r="A299" s="32"/>
    </row>
    <row r="300" spans="1:1">
      <c r="A300" s="32"/>
    </row>
    <row r="301" spans="1:1">
      <c r="A301" s="32"/>
    </row>
    <row r="302" spans="1:1">
      <c r="A302" s="32"/>
    </row>
    <row r="303" spans="1:1">
      <c r="A303" s="32"/>
    </row>
    <row r="304" spans="1:1">
      <c r="A304" s="32"/>
    </row>
    <row r="305" spans="1:1">
      <c r="A305" s="32"/>
    </row>
    <row r="306" spans="1:1">
      <c r="A306" s="32"/>
    </row>
    <row r="307" spans="1:1">
      <c r="A307" s="32"/>
    </row>
    <row r="308" spans="1:1">
      <c r="A308" s="32"/>
    </row>
    <row r="309" spans="1:1">
      <c r="A309" s="32"/>
    </row>
    <row r="310" spans="1:1">
      <c r="A310" s="32"/>
    </row>
    <row r="311" spans="1:1">
      <c r="A311" s="32"/>
    </row>
    <row r="312" spans="1:1">
      <c r="A312" s="32"/>
    </row>
    <row r="313" spans="1:1">
      <c r="A313" s="32"/>
    </row>
    <row r="314" spans="1:1">
      <c r="A314" s="32"/>
    </row>
    <row r="315" spans="1:1">
      <c r="A315" s="32"/>
    </row>
    <row r="316" spans="1:1">
      <c r="A316" s="32"/>
    </row>
    <row r="317" spans="1:1">
      <c r="A317" s="32"/>
    </row>
    <row r="318" spans="1:1">
      <c r="A318" s="32"/>
    </row>
    <row r="319" spans="1:1">
      <c r="A319" s="32"/>
    </row>
    <row r="320" spans="1:1">
      <c r="A320" s="32"/>
    </row>
    <row r="321" spans="1:1">
      <c r="A321" s="32"/>
    </row>
    <row r="322" spans="1:1">
      <c r="A322" s="32"/>
    </row>
    <row r="323" spans="1:1">
      <c r="A323" s="32"/>
    </row>
    <row r="324" spans="1:1">
      <c r="A324" s="32"/>
    </row>
    <row r="325" spans="1:1">
      <c r="A325" s="32"/>
    </row>
    <row r="326" spans="1:1">
      <c r="A326" s="32"/>
    </row>
    <row r="327" spans="1:1">
      <c r="A327" s="32"/>
    </row>
    <row r="328" spans="1:1">
      <c r="A328" s="32"/>
    </row>
    <row r="329" spans="1:1">
      <c r="A329" s="32"/>
    </row>
    <row r="330" spans="1:1">
      <c r="A330" s="32"/>
    </row>
    <row r="331" spans="1:1">
      <c r="A331" s="32"/>
    </row>
    <row r="332" spans="1:1">
      <c r="A332" s="32"/>
    </row>
    <row r="333" spans="1:1">
      <c r="A333" s="32"/>
    </row>
    <row r="334" spans="1:1">
      <c r="A334" s="32"/>
    </row>
    <row r="335" spans="1:1">
      <c r="A335" s="32"/>
    </row>
    <row r="336" spans="1:1">
      <c r="A336" s="32"/>
    </row>
    <row r="337" spans="1:1">
      <c r="A337" s="32"/>
    </row>
    <row r="338" spans="1:1">
      <c r="A338" s="32"/>
    </row>
    <row r="339" spans="1:1">
      <c r="A339" s="32"/>
    </row>
    <row r="340" spans="1:1">
      <c r="A340" s="32"/>
    </row>
    <row r="341" spans="1:1">
      <c r="A341" s="32"/>
    </row>
    <row r="342" spans="1:1">
      <c r="A342" s="32"/>
    </row>
    <row r="343" spans="1:1">
      <c r="A343" s="32"/>
    </row>
    <row r="344" spans="1:1">
      <c r="A344" s="32"/>
    </row>
    <row r="345" spans="1:1">
      <c r="A345" s="32"/>
    </row>
    <row r="346" spans="1:1">
      <c r="A346" s="32"/>
    </row>
    <row r="347" spans="1:1">
      <c r="A347" s="32"/>
    </row>
    <row r="348" spans="1:1">
      <c r="A348" s="32"/>
    </row>
    <row r="349" spans="1:1">
      <c r="A349" s="32"/>
    </row>
    <row r="350" spans="1:1">
      <c r="A350" s="32"/>
    </row>
    <row r="351" spans="1:1">
      <c r="A351" s="32"/>
    </row>
    <row r="352" spans="1:1">
      <c r="A352" s="32"/>
    </row>
    <row r="353" spans="1:1">
      <c r="A353" s="32"/>
    </row>
    <row r="354" spans="1:1">
      <c r="A354" s="32"/>
    </row>
    <row r="355" spans="1:1">
      <c r="A355" s="32"/>
    </row>
    <row r="356" spans="1:1">
      <c r="A356" s="32"/>
    </row>
    <row r="357" spans="1:1">
      <c r="A357" s="32"/>
    </row>
    <row r="358" spans="1:1">
      <c r="A358" s="32"/>
    </row>
    <row r="359" spans="1:1">
      <c r="A359" s="32"/>
    </row>
    <row r="360" spans="1:1">
      <c r="A360" s="32"/>
    </row>
    <row r="361" spans="1:1">
      <c r="A361" s="32"/>
    </row>
    <row r="362" spans="1:1">
      <c r="A362" s="32"/>
    </row>
    <row r="363" spans="1:1">
      <c r="A363" s="32"/>
    </row>
    <row r="364" spans="1:1">
      <c r="A364" s="32"/>
    </row>
    <row r="365" spans="1:1">
      <c r="A365" s="32"/>
    </row>
    <row r="366" spans="1:1">
      <c r="A366" s="32"/>
    </row>
    <row r="367" spans="1:1">
      <c r="A367" s="32"/>
    </row>
    <row r="368" spans="1:1">
      <c r="A368" s="32"/>
    </row>
    <row r="369" spans="1:1">
      <c r="A369" s="32"/>
    </row>
    <row r="370" spans="1:1">
      <c r="A370" s="32"/>
    </row>
    <row r="371" spans="1:1">
      <c r="A371" s="32"/>
    </row>
    <row r="372" spans="1:1">
      <c r="A372" s="32"/>
    </row>
    <row r="373" spans="1:1">
      <c r="A373" s="32"/>
    </row>
    <row r="374" spans="1:1">
      <c r="A374" s="32"/>
    </row>
    <row r="375" spans="1:1">
      <c r="A375" s="32"/>
    </row>
    <row r="376" spans="1:1">
      <c r="A376" s="32"/>
    </row>
    <row r="377" spans="1:1">
      <c r="A377" s="32"/>
    </row>
    <row r="378" spans="1:1">
      <c r="A378" s="32"/>
    </row>
    <row r="379" spans="1:1">
      <c r="A379" s="32"/>
    </row>
    <row r="380" spans="1:1">
      <c r="A380" s="32"/>
    </row>
    <row r="381" spans="1:1">
      <c r="A381" s="32"/>
    </row>
    <row r="382" spans="1:1">
      <c r="A382" s="32"/>
    </row>
    <row r="383" spans="1:1">
      <c r="A383" s="32"/>
    </row>
    <row r="384" spans="1:1">
      <c r="A384" s="32"/>
    </row>
    <row r="385" spans="1:1">
      <c r="A385" s="32"/>
    </row>
    <row r="386" spans="1:1">
      <c r="A386" s="32"/>
    </row>
    <row r="387" spans="1:1">
      <c r="A387" s="32"/>
    </row>
    <row r="388" spans="1:1">
      <c r="A388" s="32"/>
    </row>
    <row r="389" spans="1:1">
      <c r="A389" s="32"/>
    </row>
    <row r="390" spans="1:1">
      <c r="A390" s="32"/>
    </row>
    <row r="391" spans="1:1">
      <c r="A391" s="32"/>
    </row>
    <row r="392" spans="1:1">
      <c r="A392" s="32"/>
    </row>
    <row r="393" spans="1:1">
      <c r="A393" s="32"/>
    </row>
    <row r="394" spans="1:1">
      <c r="A394" s="32"/>
    </row>
    <row r="395" spans="1:1">
      <c r="A395" s="32"/>
    </row>
    <row r="396" spans="1:1">
      <c r="A396" s="32"/>
    </row>
    <row r="397" spans="1:1">
      <c r="A397" s="32"/>
    </row>
    <row r="398" spans="1:1">
      <c r="A398" s="32"/>
    </row>
    <row r="399" spans="1:1">
      <c r="A399" s="32"/>
    </row>
    <row r="400" spans="1:1">
      <c r="A400" s="32"/>
    </row>
    <row r="401" spans="1:1">
      <c r="A401" s="32"/>
    </row>
    <row r="402" spans="1:1">
      <c r="A402" s="32"/>
    </row>
    <row r="403" spans="1:1">
      <c r="A403" s="32"/>
    </row>
    <row r="404" spans="1:1">
      <c r="A404" s="32"/>
    </row>
    <row r="405" spans="1:1">
      <c r="A405" s="32"/>
    </row>
    <row r="406" spans="1:1">
      <c r="A406" s="32"/>
    </row>
    <row r="407" spans="1:1">
      <c r="A407" s="32"/>
    </row>
    <row r="408" spans="1:1">
      <c r="A408" s="32"/>
    </row>
    <row r="409" spans="1:1">
      <c r="A409" s="32"/>
    </row>
    <row r="410" spans="1:1">
      <c r="A410" s="32"/>
    </row>
    <row r="411" spans="1:1">
      <c r="A411" s="32"/>
    </row>
    <row r="412" spans="1:1">
      <c r="A412" s="32"/>
    </row>
    <row r="413" spans="1:1">
      <c r="A413" s="32"/>
    </row>
    <row r="414" spans="1:1">
      <c r="A414" s="32"/>
    </row>
    <row r="415" spans="1:1">
      <c r="A415" s="32"/>
    </row>
    <row r="416" spans="1:1">
      <c r="A416" s="32"/>
    </row>
    <row r="417" spans="1:1">
      <c r="A417" s="32"/>
    </row>
    <row r="418" spans="1:1">
      <c r="A418" s="32"/>
    </row>
    <row r="419" spans="1:1">
      <c r="A419" s="32"/>
    </row>
    <row r="420" spans="1:1">
      <c r="A420" s="32"/>
    </row>
    <row r="421" spans="1:1">
      <c r="A421" s="32"/>
    </row>
    <row r="422" spans="1:1">
      <c r="A422" s="32"/>
    </row>
    <row r="423" spans="1:1">
      <c r="A423" s="32"/>
    </row>
    <row r="424" spans="1:1">
      <c r="A424" s="32"/>
    </row>
    <row r="425" spans="1:1">
      <c r="A425" s="32"/>
    </row>
    <row r="426" spans="1:1">
      <c r="A426" s="32"/>
    </row>
    <row r="427" spans="1:1">
      <c r="A427" s="32"/>
    </row>
    <row r="428" spans="1:1">
      <c r="A428" s="32"/>
    </row>
    <row r="429" spans="1:1">
      <c r="A429" s="32"/>
    </row>
    <row r="430" spans="1:1">
      <c r="A430" s="32"/>
    </row>
    <row r="431" spans="1:1">
      <c r="A431" s="32"/>
    </row>
    <row r="432" spans="1:1">
      <c r="A432" s="32"/>
    </row>
    <row r="433" spans="1:1">
      <c r="A433" s="32"/>
    </row>
    <row r="434" spans="1:1">
      <c r="A434" s="32"/>
    </row>
    <row r="435" spans="1:1">
      <c r="A435" s="32"/>
    </row>
    <row r="436" spans="1:1">
      <c r="A436" s="32"/>
    </row>
    <row r="437" spans="1:1">
      <c r="A437" s="32"/>
    </row>
    <row r="438" spans="1:1">
      <c r="A438" s="32"/>
    </row>
    <row r="439" spans="1:1">
      <c r="A439" s="32"/>
    </row>
    <row r="440" spans="1:1">
      <c r="A440" s="32"/>
    </row>
    <row r="441" spans="1:1">
      <c r="A441" s="32"/>
    </row>
    <row r="442" spans="1:1">
      <c r="A442" s="32"/>
    </row>
    <row r="443" spans="1:1">
      <c r="A443" s="32"/>
    </row>
    <row r="444" spans="1:1">
      <c r="A444" s="32"/>
    </row>
    <row r="445" spans="1:1">
      <c r="A445" s="32"/>
    </row>
    <row r="446" spans="1:1">
      <c r="A446" s="32"/>
    </row>
    <row r="447" spans="1:1">
      <c r="A447" s="32"/>
    </row>
    <row r="448" spans="1:1">
      <c r="A448" s="32"/>
    </row>
    <row r="449" spans="1:1">
      <c r="A449" s="32"/>
    </row>
    <row r="450" spans="1:1">
      <c r="A450" s="32"/>
    </row>
    <row r="451" spans="1:1">
      <c r="A451" s="32"/>
    </row>
    <row r="452" spans="1:1">
      <c r="A452" s="32"/>
    </row>
    <row r="453" spans="1:1">
      <c r="A453" s="32"/>
    </row>
    <row r="454" spans="1:1">
      <c r="A454" s="32"/>
    </row>
  </sheetData>
  <mergeCells count="34">
    <mergeCell ref="A39:H39"/>
    <mergeCell ref="A33:H33"/>
    <mergeCell ref="A26:H26"/>
    <mergeCell ref="E30:H30"/>
    <mergeCell ref="A46:H46"/>
    <mergeCell ref="A28:H28"/>
    <mergeCell ref="B30:B31"/>
    <mergeCell ref="B18:H18"/>
    <mergeCell ref="F19:G19"/>
    <mergeCell ref="B19:E19"/>
    <mergeCell ref="B20:E20"/>
    <mergeCell ref="C30:D30"/>
    <mergeCell ref="A23:H23"/>
    <mergeCell ref="E9:F9"/>
    <mergeCell ref="G9:H9"/>
    <mergeCell ref="B10:D10"/>
    <mergeCell ref="B11:D11"/>
    <mergeCell ref="B12:D12"/>
    <mergeCell ref="B13:D13"/>
    <mergeCell ref="A48:H48"/>
    <mergeCell ref="C128:F128"/>
    <mergeCell ref="C129:F129"/>
    <mergeCell ref="A70:H70"/>
    <mergeCell ref="A92:H92"/>
    <mergeCell ref="A103:H103"/>
    <mergeCell ref="A125:H125"/>
    <mergeCell ref="B14:H14"/>
    <mergeCell ref="B15:H15"/>
    <mergeCell ref="A24:H24"/>
    <mergeCell ref="B16:H16"/>
    <mergeCell ref="B17:H17"/>
    <mergeCell ref="F20:G20"/>
    <mergeCell ref="A25:H25"/>
    <mergeCell ref="A30:A31"/>
  </mergeCells>
  <phoneticPr fontId="3" type="noConversion"/>
  <pageMargins left="1.1811023622047201" right="0.39370078740157499" top="0.78740157480314998" bottom="0.78740157480314998" header="0.31496062992126" footer="0.196850393700787"/>
  <pageSetup paperSize="9" scale="45" orientation="landscape" r:id="rId1"/>
  <headerFooter differentFirst="1" alignWithMargins="0">
    <oddHeader>&amp;R&amp;"Times New Roman,звичайний"&amp;14Продовження додатка 3</oddHeader>
  </headerFooter>
  <rowBreaks count="1" manualBreakCount="1">
    <brk id="45" max="8" man="1"/>
  </rowBreaks>
  <ignoredErrors>
    <ignoredError sqref="H104 H94 H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R342"/>
  <sheetViews>
    <sheetView zoomScale="60" zoomScaleNormal="60" zoomScaleSheetLayoutView="50" workbookViewId="0">
      <selection activeCell="P71" sqref="P71"/>
    </sheetView>
  </sheetViews>
  <sheetFormatPr defaultRowHeight="18.75" outlineLevelRow="1"/>
  <cols>
    <col min="1" max="1" width="84.7109375" style="3" customWidth="1"/>
    <col min="2" max="2" width="14" style="15" customWidth="1"/>
    <col min="3" max="9" width="16.7109375" style="15" customWidth="1"/>
    <col min="10" max="14" width="16.7109375" style="3" customWidth="1"/>
    <col min="15" max="15" width="9.140625" style="3"/>
    <col min="16" max="16" width="10.85546875" style="3" bestFit="1" customWidth="1"/>
    <col min="17" max="16384" width="9.140625" style="3"/>
  </cols>
  <sheetData>
    <row r="1" spans="1:14" outlineLevel="1">
      <c r="A1" s="264" t="s">
        <v>124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6.5" customHeight="1" outlineLevel="1">
      <c r="A2" s="264" t="s">
        <v>418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14" ht="16.5" customHeight="1" outlineLevel="1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outlineLevel="1">
      <c r="A4" s="297" t="s">
        <v>125</v>
      </c>
      <c r="B4" s="297"/>
      <c r="C4" s="297"/>
      <c r="D4" s="297"/>
      <c r="E4" s="297"/>
      <c r="F4" s="297"/>
      <c r="G4" s="297"/>
      <c r="H4" s="297"/>
      <c r="I4" s="297"/>
      <c r="J4" s="210"/>
      <c r="K4" s="210"/>
      <c r="L4" s="210"/>
      <c r="M4" s="210"/>
      <c r="N4" s="210"/>
    </row>
    <row r="5" spans="1:14" ht="5.25" customHeight="1" outlineLevel="1">
      <c r="A5" s="191"/>
      <c r="B5" s="191"/>
      <c r="C5" s="191"/>
      <c r="D5" s="191"/>
      <c r="E5" s="191"/>
      <c r="F5" s="191"/>
      <c r="G5" s="191"/>
      <c r="H5" s="191"/>
      <c r="I5" s="191"/>
      <c r="J5" s="210"/>
      <c r="K5" s="210"/>
      <c r="L5" s="210"/>
      <c r="M5" s="210"/>
      <c r="N5" s="210"/>
    </row>
    <row r="6" spans="1:14" ht="30.75" customHeight="1" outlineLevel="1">
      <c r="A6" s="192" t="s">
        <v>126</v>
      </c>
      <c r="B6" s="286" t="s">
        <v>127</v>
      </c>
      <c r="C6" s="286"/>
      <c r="D6" s="286"/>
      <c r="E6" s="286"/>
      <c r="F6" s="286"/>
      <c r="G6" s="286"/>
      <c r="H6" s="300" t="s">
        <v>128</v>
      </c>
      <c r="I6" s="300"/>
      <c r="J6" s="300"/>
      <c r="K6" s="300"/>
      <c r="L6" s="300"/>
      <c r="M6" s="300"/>
      <c r="N6" s="300"/>
    </row>
    <row r="7" spans="1:14" outlineLevel="1">
      <c r="A7" s="192">
        <v>1</v>
      </c>
      <c r="B7" s="286">
        <v>2</v>
      </c>
      <c r="C7" s="286"/>
      <c r="D7" s="286"/>
      <c r="E7" s="286"/>
      <c r="F7" s="286"/>
      <c r="G7" s="286"/>
      <c r="H7" s="286">
        <v>3</v>
      </c>
      <c r="I7" s="286"/>
      <c r="J7" s="286"/>
      <c r="K7" s="286"/>
      <c r="L7" s="286"/>
      <c r="M7" s="286"/>
      <c r="N7" s="286"/>
    </row>
    <row r="8" spans="1:14" outlineLevel="1">
      <c r="A8" s="60" t="s">
        <v>415</v>
      </c>
      <c r="B8" s="273" t="s">
        <v>419</v>
      </c>
      <c r="C8" s="274"/>
      <c r="D8" s="274"/>
      <c r="E8" s="274"/>
      <c r="F8" s="274"/>
      <c r="G8" s="275"/>
      <c r="H8" s="294" t="s">
        <v>410</v>
      </c>
      <c r="I8" s="295"/>
      <c r="J8" s="295"/>
      <c r="K8" s="295"/>
      <c r="L8" s="295"/>
      <c r="M8" s="295"/>
      <c r="N8" s="296"/>
    </row>
    <row r="9" spans="1:14" outlineLevel="1">
      <c r="A9" s="194"/>
      <c r="B9" s="299"/>
      <c r="C9" s="299"/>
      <c r="D9" s="299"/>
      <c r="E9" s="299"/>
      <c r="F9" s="299"/>
      <c r="G9" s="299"/>
      <c r="H9" s="283"/>
      <c r="I9" s="283"/>
      <c r="J9" s="283"/>
      <c r="K9" s="283"/>
      <c r="L9" s="283"/>
      <c r="M9" s="283"/>
      <c r="N9" s="283"/>
    </row>
    <row r="10" spans="1:14" ht="17.25" customHeight="1" outlineLevel="1">
      <c r="A10" s="210"/>
      <c r="B10" s="189"/>
      <c r="C10" s="189"/>
      <c r="D10" s="189"/>
      <c r="E10" s="189"/>
      <c r="F10" s="189"/>
      <c r="G10" s="189"/>
      <c r="H10" s="189"/>
      <c r="I10" s="189"/>
      <c r="J10" s="210"/>
      <c r="K10" s="210"/>
      <c r="L10" s="210"/>
      <c r="M10" s="210"/>
      <c r="N10" s="210"/>
    </row>
    <row r="11" spans="1:14" outlineLevel="1">
      <c r="A11" s="297" t="s">
        <v>129</v>
      </c>
      <c r="B11" s="297"/>
      <c r="C11" s="297"/>
      <c r="D11" s="297"/>
      <c r="E11" s="297"/>
      <c r="F11" s="297"/>
      <c r="G11" s="297"/>
      <c r="H11" s="297"/>
      <c r="I11" s="297"/>
      <c r="J11" s="210"/>
      <c r="K11" s="210"/>
      <c r="L11" s="210"/>
      <c r="M11" s="210"/>
      <c r="N11" s="210"/>
    </row>
    <row r="12" spans="1:14" ht="11.25" customHeight="1" outlineLevel="1">
      <c r="A12" s="191"/>
      <c r="B12" s="191"/>
      <c r="C12" s="191"/>
      <c r="D12" s="191"/>
      <c r="E12" s="191"/>
      <c r="F12" s="191"/>
      <c r="G12" s="191"/>
      <c r="H12" s="191"/>
      <c r="I12" s="191"/>
      <c r="J12" s="210"/>
      <c r="K12" s="210"/>
      <c r="L12" s="210"/>
      <c r="M12" s="210"/>
      <c r="N12" s="210"/>
    </row>
    <row r="13" spans="1:14" ht="39.75" customHeight="1" outlineLevel="1">
      <c r="A13" s="285" t="s">
        <v>130</v>
      </c>
      <c r="B13" s="285"/>
      <c r="C13" s="275" t="s">
        <v>131</v>
      </c>
      <c r="D13" s="279"/>
      <c r="E13" s="279"/>
      <c r="F13" s="279" t="s">
        <v>132</v>
      </c>
      <c r="G13" s="279"/>
      <c r="H13" s="279"/>
      <c r="I13" s="279" t="s">
        <v>133</v>
      </c>
      <c r="J13" s="279"/>
      <c r="K13" s="279"/>
      <c r="L13" s="273" t="s">
        <v>134</v>
      </c>
      <c r="M13" s="274"/>
      <c r="N13" s="275"/>
    </row>
    <row r="14" spans="1:14" ht="163.5" customHeight="1" outlineLevel="1">
      <c r="A14" s="285"/>
      <c r="B14" s="285"/>
      <c r="C14" s="186" t="s">
        <v>135</v>
      </c>
      <c r="D14" s="186" t="s">
        <v>136</v>
      </c>
      <c r="E14" s="186" t="s">
        <v>137</v>
      </c>
      <c r="F14" s="186" t="s">
        <v>135</v>
      </c>
      <c r="G14" s="186" t="s">
        <v>136</v>
      </c>
      <c r="H14" s="186" t="s">
        <v>137</v>
      </c>
      <c r="I14" s="186" t="s">
        <v>135</v>
      </c>
      <c r="J14" s="186" t="s">
        <v>136</v>
      </c>
      <c r="K14" s="186" t="s">
        <v>137</v>
      </c>
      <c r="L14" s="208" t="s">
        <v>138</v>
      </c>
      <c r="M14" s="208" t="s">
        <v>139</v>
      </c>
      <c r="N14" s="208" t="s">
        <v>140</v>
      </c>
    </row>
    <row r="15" spans="1:14" outlineLevel="1">
      <c r="A15" s="285">
        <v>1</v>
      </c>
      <c r="B15" s="285"/>
      <c r="C15" s="186">
        <v>2</v>
      </c>
      <c r="D15" s="186">
        <v>3</v>
      </c>
      <c r="E15" s="186">
        <v>4</v>
      </c>
      <c r="F15" s="186">
        <v>5</v>
      </c>
      <c r="G15" s="192">
        <v>6</v>
      </c>
      <c r="H15" s="192">
        <v>7</v>
      </c>
      <c r="I15" s="192">
        <v>8</v>
      </c>
      <c r="J15" s="192">
        <v>9</v>
      </c>
      <c r="K15" s="192">
        <v>10</v>
      </c>
      <c r="L15" s="192">
        <v>11</v>
      </c>
      <c r="M15" s="192">
        <v>12</v>
      </c>
      <c r="N15" s="192">
        <v>13</v>
      </c>
    </row>
    <row r="16" spans="1:14" outlineLevel="1">
      <c r="A16" s="265" t="s">
        <v>432</v>
      </c>
      <c r="B16" s="266"/>
      <c r="C16" s="52">
        <v>6750</v>
      </c>
      <c r="D16" s="52"/>
      <c r="E16" s="53"/>
      <c r="F16" s="52">
        <v>6751</v>
      </c>
      <c r="G16" s="52"/>
      <c r="H16" s="53"/>
      <c r="I16" s="57">
        <f t="shared" ref="I16:K18" si="0">F16-C16</f>
        <v>1</v>
      </c>
      <c r="J16" s="57">
        <f t="shared" si="0"/>
        <v>0</v>
      </c>
      <c r="K16" s="57">
        <f t="shared" si="0"/>
        <v>0</v>
      </c>
      <c r="L16" s="57">
        <f t="shared" ref="L16:N18" si="1">(F16/C16)*100</f>
        <v>100.01481481481483</v>
      </c>
      <c r="M16" s="57" t="e">
        <f t="shared" si="1"/>
        <v>#DIV/0!</v>
      </c>
      <c r="N16" s="57" t="e">
        <f t="shared" si="1"/>
        <v>#DIV/0!</v>
      </c>
    </row>
    <row r="17" spans="1:17" outlineLevel="1">
      <c r="A17" s="286"/>
      <c r="B17" s="286"/>
      <c r="C17" s="52"/>
      <c r="D17" s="52"/>
      <c r="E17" s="53"/>
      <c r="F17" s="52"/>
      <c r="G17" s="52"/>
      <c r="H17" s="53"/>
      <c r="I17" s="57">
        <f t="shared" si="0"/>
        <v>0</v>
      </c>
      <c r="J17" s="57">
        <f t="shared" si="0"/>
        <v>0</v>
      </c>
      <c r="K17" s="57">
        <f t="shared" si="0"/>
        <v>0</v>
      </c>
      <c r="L17" s="57" t="e">
        <f t="shared" si="1"/>
        <v>#DIV/0!</v>
      </c>
      <c r="M17" s="57" t="e">
        <f t="shared" si="1"/>
        <v>#DIV/0!</v>
      </c>
      <c r="N17" s="57" t="e">
        <f t="shared" si="1"/>
        <v>#DIV/0!</v>
      </c>
    </row>
    <row r="18" spans="1:17" outlineLevel="1">
      <c r="A18" s="286"/>
      <c r="B18" s="286"/>
      <c r="C18" s="52"/>
      <c r="D18" s="52"/>
      <c r="E18" s="53"/>
      <c r="F18" s="52"/>
      <c r="G18" s="52"/>
      <c r="H18" s="53"/>
      <c r="I18" s="57">
        <f t="shared" si="0"/>
        <v>0</v>
      </c>
      <c r="J18" s="57">
        <f t="shared" si="0"/>
        <v>0</v>
      </c>
      <c r="K18" s="57">
        <f t="shared" si="0"/>
        <v>0</v>
      </c>
      <c r="L18" s="57" t="e">
        <f t="shared" si="1"/>
        <v>#DIV/0!</v>
      </c>
      <c r="M18" s="57" t="e">
        <f t="shared" si="1"/>
        <v>#DIV/0!</v>
      </c>
      <c r="N18" s="57" t="e">
        <f t="shared" si="1"/>
        <v>#DIV/0!</v>
      </c>
    </row>
    <row r="19" spans="1:17" outlineLevel="1">
      <c r="A19" s="265" t="s">
        <v>141</v>
      </c>
      <c r="B19" s="266"/>
      <c r="C19" s="203">
        <f>SUM(C16:C18)</f>
        <v>6750</v>
      </c>
      <c r="D19" s="52"/>
      <c r="E19" s="53"/>
      <c r="F19" s="203">
        <f>SUM(F16:F18)</f>
        <v>6751</v>
      </c>
      <c r="G19" s="52"/>
      <c r="H19" s="53"/>
      <c r="I19" s="57">
        <f>F19-C19</f>
        <v>1</v>
      </c>
      <c r="J19" s="52"/>
      <c r="K19" s="53"/>
      <c r="L19" s="57">
        <f>(F19/C19)*100</f>
        <v>100.01481481481483</v>
      </c>
      <c r="M19" s="52"/>
      <c r="N19" s="53"/>
    </row>
    <row r="20" spans="1:17" ht="11.25" customHeight="1">
      <c r="A20" s="191"/>
      <c r="B20" s="191"/>
      <c r="C20" s="191"/>
      <c r="D20" s="191"/>
      <c r="E20" s="191"/>
      <c r="F20" s="191"/>
      <c r="G20" s="191"/>
      <c r="H20" s="191"/>
      <c r="I20" s="191"/>
      <c r="J20" s="210"/>
      <c r="K20" s="210"/>
      <c r="L20" s="210"/>
      <c r="M20" s="210"/>
      <c r="N20" s="210"/>
    </row>
    <row r="21" spans="1:17" s="5" customFormat="1" ht="21" customHeight="1">
      <c r="A21" s="287" t="s">
        <v>142</v>
      </c>
      <c r="B21" s="287"/>
      <c r="C21" s="287"/>
      <c r="D21" s="287"/>
      <c r="E21" s="287"/>
      <c r="F21" s="287"/>
      <c r="G21" s="287"/>
      <c r="H21" s="287"/>
      <c r="I21" s="287"/>
    </row>
    <row r="22" spans="1:17" s="5" customFormat="1" ht="9" customHeight="1">
      <c r="A22" s="102"/>
      <c r="B22" s="103"/>
      <c r="C22" s="103"/>
      <c r="D22" s="103"/>
      <c r="E22" s="103"/>
      <c r="F22" s="103"/>
      <c r="G22" s="103"/>
      <c r="H22" s="103"/>
      <c r="I22" s="103"/>
    </row>
    <row r="23" spans="1:17" s="5" customFormat="1" ht="59.25" customHeight="1">
      <c r="A23" s="286" t="s">
        <v>24</v>
      </c>
      <c r="B23" s="279" t="s">
        <v>143</v>
      </c>
      <c r="C23" s="279" t="s">
        <v>144</v>
      </c>
      <c r="D23" s="279"/>
      <c r="E23" s="279" t="s">
        <v>145</v>
      </c>
      <c r="F23" s="286"/>
      <c r="G23" s="286"/>
      <c r="H23" s="286"/>
      <c r="I23" s="286"/>
      <c r="J23" s="286"/>
      <c r="K23" s="286"/>
      <c r="L23" s="286"/>
      <c r="M23" s="286"/>
      <c r="N23" s="286"/>
    </row>
    <row r="24" spans="1:17" s="5" customFormat="1" ht="39.75" customHeight="1">
      <c r="A24" s="286"/>
      <c r="B24" s="279"/>
      <c r="C24" s="186" t="s">
        <v>146</v>
      </c>
      <c r="D24" s="186" t="s">
        <v>147</v>
      </c>
      <c r="E24" s="186" t="s">
        <v>30</v>
      </c>
      <c r="F24" s="186" t="s">
        <v>31</v>
      </c>
      <c r="G24" s="186" t="s">
        <v>32</v>
      </c>
      <c r="H24" s="186" t="s">
        <v>148</v>
      </c>
      <c r="I24" s="279" t="s">
        <v>149</v>
      </c>
      <c r="J24" s="279"/>
      <c r="K24" s="279"/>
      <c r="L24" s="279"/>
      <c r="M24" s="279"/>
      <c r="N24" s="279"/>
    </row>
    <row r="25" spans="1:17" s="5" customFormat="1" ht="24.95" customHeight="1">
      <c r="A25" s="192">
        <v>1</v>
      </c>
      <c r="B25" s="186">
        <v>2</v>
      </c>
      <c r="C25" s="192">
        <v>3</v>
      </c>
      <c r="D25" s="186">
        <v>4</v>
      </c>
      <c r="E25" s="192">
        <v>5</v>
      </c>
      <c r="F25" s="186">
        <v>6</v>
      </c>
      <c r="G25" s="192">
        <v>7</v>
      </c>
      <c r="H25" s="186">
        <v>8</v>
      </c>
      <c r="I25" s="286">
        <v>9</v>
      </c>
      <c r="J25" s="286"/>
      <c r="K25" s="286"/>
      <c r="L25" s="286"/>
      <c r="M25" s="286"/>
      <c r="N25" s="286"/>
    </row>
    <row r="26" spans="1:17" s="5" customFormat="1" ht="24.95" customHeight="1">
      <c r="A26" s="298" t="s">
        <v>150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</row>
    <row r="27" spans="1:17" s="5" customFormat="1" ht="20.100000000000001" customHeight="1">
      <c r="A27" s="193" t="s">
        <v>35</v>
      </c>
      <c r="B27" s="7">
        <v>1000</v>
      </c>
      <c r="C27" s="56">
        <v>10289.5</v>
      </c>
      <c r="D27" s="56">
        <f>5382.5+6751</f>
        <v>12133.5</v>
      </c>
      <c r="E27" s="56">
        <v>6750</v>
      </c>
      <c r="F27" s="56">
        <v>6751</v>
      </c>
      <c r="G27" s="56">
        <f>F27-E27</f>
        <v>1</v>
      </c>
      <c r="H27" s="70">
        <f>(F27/E27)*100</f>
        <v>100.01481481481483</v>
      </c>
      <c r="I27" s="281"/>
      <c r="J27" s="281"/>
      <c r="K27" s="281"/>
      <c r="L27" s="281"/>
      <c r="M27" s="281"/>
      <c r="N27" s="281"/>
    </row>
    <row r="28" spans="1:17" s="5" customFormat="1" ht="20.100000000000001" customHeight="1">
      <c r="A28" s="193" t="s">
        <v>36</v>
      </c>
      <c r="B28" s="7">
        <v>1010</v>
      </c>
      <c r="C28" s="204">
        <f>SUM(C29:C37)</f>
        <v>-8578.2000000000007</v>
      </c>
      <c r="D28" s="204">
        <f>SUM(D29:D37)</f>
        <v>-9004.2000000000007</v>
      </c>
      <c r="E28" s="204">
        <f>SUM(E29:E37)</f>
        <v>-5941</v>
      </c>
      <c r="F28" s="204">
        <f>SUM(F29:F37)</f>
        <v>-4737.8</v>
      </c>
      <c r="G28" s="56">
        <f t="shared" ref="G28:G92" si="2">F28-E28</f>
        <v>1203.1999999999998</v>
      </c>
      <c r="H28" s="70">
        <f t="shared" ref="H28:H92" si="3">(F28/E28)*100</f>
        <v>79.74751725298772</v>
      </c>
      <c r="I28" s="281"/>
      <c r="J28" s="281"/>
      <c r="K28" s="281"/>
      <c r="L28" s="281"/>
      <c r="M28" s="281"/>
      <c r="N28" s="281"/>
      <c r="Q28" s="242"/>
    </row>
    <row r="29" spans="1:17" s="2" customFormat="1" ht="20.100000000000001" customHeight="1">
      <c r="A29" s="209" t="s">
        <v>151</v>
      </c>
      <c r="B29" s="186">
        <v>1011</v>
      </c>
      <c r="C29" s="51">
        <v>-1110.5</v>
      </c>
      <c r="D29" s="51">
        <f>-471.8+-412</f>
        <v>-883.8</v>
      </c>
      <c r="E29" s="51">
        <v>-500</v>
      </c>
      <c r="F29" s="51">
        <v>-412</v>
      </c>
      <c r="G29" s="51">
        <f t="shared" si="2"/>
        <v>88</v>
      </c>
      <c r="H29" s="68">
        <f t="shared" si="3"/>
        <v>82.399999999999991</v>
      </c>
      <c r="I29" s="283" t="s">
        <v>434</v>
      </c>
      <c r="J29" s="283"/>
      <c r="K29" s="283"/>
      <c r="L29" s="283"/>
      <c r="M29" s="283"/>
      <c r="N29" s="283"/>
    </row>
    <row r="30" spans="1:17" s="2" customFormat="1" ht="20.100000000000001" customHeight="1">
      <c r="A30" s="209" t="s">
        <v>153</v>
      </c>
      <c r="B30" s="186">
        <v>1012</v>
      </c>
      <c r="C30" s="51" t="s">
        <v>152</v>
      </c>
      <c r="D30" s="51">
        <f>-13.2</f>
        <v>-13.2</v>
      </c>
      <c r="E30" s="51" t="s">
        <v>152</v>
      </c>
      <c r="F30" s="51" t="s">
        <v>152</v>
      </c>
      <c r="G30" s="51" t="e">
        <f t="shared" si="2"/>
        <v>#VALUE!</v>
      </c>
      <c r="H30" s="68" t="e">
        <f t="shared" si="3"/>
        <v>#VALUE!</v>
      </c>
      <c r="I30" s="283"/>
      <c r="J30" s="283"/>
      <c r="K30" s="283"/>
      <c r="L30" s="283"/>
      <c r="M30" s="283"/>
      <c r="N30" s="283"/>
    </row>
    <row r="31" spans="1:17" s="2" customFormat="1" ht="20.100000000000001" customHeight="1">
      <c r="A31" s="209" t="s">
        <v>154</v>
      </c>
      <c r="B31" s="186">
        <v>1013</v>
      </c>
      <c r="C31" s="51">
        <v>-399.5</v>
      </c>
      <c r="D31" s="51">
        <f>-258.3+-222</f>
        <v>-480.3</v>
      </c>
      <c r="E31" s="51">
        <v>-248</v>
      </c>
      <c r="F31" s="51">
        <v>-222</v>
      </c>
      <c r="G31" s="51">
        <f t="shared" si="2"/>
        <v>26</v>
      </c>
      <c r="H31" s="68">
        <f t="shared" si="3"/>
        <v>89.516129032258064</v>
      </c>
      <c r="I31" s="283"/>
      <c r="J31" s="283"/>
      <c r="K31" s="283"/>
      <c r="L31" s="283"/>
      <c r="M31" s="283"/>
      <c r="N31" s="283"/>
    </row>
    <row r="32" spans="1:17" s="2" customFormat="1" ht="34.5" customHeight="1">
      <c r="A32" s="209" t="s">
        <v>97</v>
      </c>
      <c r="B32" s="186">
        <v>1014</v>
      </c>
      <c r="C32" s="51">
        <v>-5659.4</v>
      </c>
      <c r="D32" s="51">
        <f>-2823.6+-3238</f>
        <v>-6061.6</v>
      </c>
      <c r="E32" s="51">
        <v>-4150</v>
      </c>
      <c r="F32" s="51">
        <v>-3238</v>
      </c>
      <c r="G32" s="51">
        <f t="shared" si="2"/>
        <v>912</v>
      </c>
      <c r="H32" s="68">
        <f t="shared" si="3"/>
        <v>78.024096385542165</v>
      </c>
      <c r="I32" s="283" t="s">
        <v>433</v>
      </c>
      <c r="J32" s="283"/>
      <c r="K32" s="283"/>
      <c r="L32" s="283"/>
      <c r="M32" s="283"/>
      <c r="N32" s="283"/>
    </row>
    <row r="33" spans="1:17" s="2" customFormat="1" ht="20.100000000000001" customHeight="1">
      <c r="A33" s="209" t="s">
        <v>155</v>
      </c>
      <c r="B33" s="186">
        <v>1015</v>
      </c>
      <c r="C33" s="51">
        <v>-1159</v>
      </c>
      <c r="D33" s="51">
        <f>-576.9+-659</f>
        <v>-1235.9000000000001</v>
      </c>
      <c r="E33" s="51">
        <v>-913</v>
      </c>
      <c r="F33" s="51">
        <v>-659</v>
      </c>
      <c r="G33" s="51">
        <f t="shared" si="2"/>
        <v>254</v>
      </c>
      <c r="H33" s="68">
        <f t="shared" si="3"/>
        <v>72.179627601314351</v>
      </c>
      <c r="I33" s="283" t="s">
        <v>441</v>
      </c>
      <c r="J33" s="283"/>
      <c r="K33" s="283"/>
      <c r="L33" s="283"/>
      <c r="M33" s="283"/>
      <c r="N33" s="283"/>
    </row>
    <row r="34" spans="1:17" s="2" customFormat="1" ht="56.25">
      <c r="A34" s="209" t="s">
        <v>156</v>
      </c>
      <c r="B34" s="186">
        <v>1016</v>
      </c>
      <c r="C34" s="51" t="s">
        <v>152</v>
      </c>
      <c r="D34" s="51" t="s">
        <v>152</v>
      </c>
      <c r="E34" s="51" t="s">
        <v>152</v>
      </c>
      <c r="F34" s="51" t="s">
        <v>152</v>
      </c>
      <c r="G34" s="51" t="e">
        <f t="shared" si="2"/>
        <v>#VALUE!</v>
      </c>
      <c r="H34" s="68" t="e">
        <f t="shared" si="3"/>
        <v>#VALUE!</v>
      </c>
      <c r="I34" s="283"/>
      <c r="J34" s="283"/>
      <c r="K34" s="283"/>
      <c r="L34" s="283"/>
      <c r="M34" s="283"/>
      <c r="N34" s="283"/>
    </row>
    <row r="35" spans="1:17" s="2" customFormat="1">
      <c r="A35" s="209" t="s">
        <v>157</v>
      </c>
      <c r="B35" s="186">
        <v>1017</v>
      </c>
      <c r="C35" s="51">
        <v>-197.2</v>
      </c>
      <c r="D35" s="51">
        <f>-102.5+-175</f>
        <v>-277.5</v>
      </c>
      <c r="E35" s="51">
        <v>-95</v>
      </c>
      <c r="F35" s="51">
        <v>-175</v>
      </c>
      <c r="G35" s="51">
        <f>F35-E35</f>
        <v>-80</v>
      </c>
      <c r="H35" s="68">
        <f>(F35/E35)*100</f>
        <v>184.21052631578948</v>
      </c>
      <c r="I35" s="288"/>
      <c r="J35" s="289"/>
      <c r="K35" s="289"/>
      <c r="L35" s="289"/>
      <c r="M35" s="289"/>
      <c r="N35" s="290"/>
    </row>
    <row r="36" spans="1:17" s="2" customFormat="1" ht="20.100000000000001" customHeight="1">
      <c r="A36" s="209" t="s">
        <v>158</v>
      </c>
      <c r="B36" s="186">
        <v>1018</v>
      </c>
      <c r="C36" s="51" t="s">
        <v>152</v>
      </c>
      <c r="D36" s="51" t="s">
        <v>152</v>
      </c>
      <c r="E36" s="51" t="s">
        <v>152</v>
      </c>
      <c r="F36" s="51" t="s">
        <v>152</v>
      </c>
      <c r="G36" s="51" t="e">
        <f t="shared" si="2"/>
        <v>#VALUE!</v>
      </c>
      <c r="H36" s="68" t="e">
        <f t="shared" si="3"/>
        <v>#VALUE!</v>
      </c>
      <c r="I36" s="283"/>
      <c r="J36" s="283"/>
      <c r="K36" s="283"/>
      <c r="L36" s="283"/>
      <c r="M36" s="283"/>
      <c r="N36" s="283"/>
    </row>
    <row r="37" spans="1:17" s="2" customFormat="1" ht="20.100000000000001" customHeight="1">
      <c r="A37" s="209" t="s">
        <v>420</v>
      </c>
      <c r="B37" s="186">
        <v>1019</v>
      </c>
      <c r="C37" s="51">
        <v>-52.6</v>
      </c>
      <c r="D37" s="51">
        <f>-19.9+-32</f>
        <v>-51.9</v>
      </c>
      <c r="E37" s="51">
        <v>-35</v>
      </c>
      <c r="F37" s="51">
        <v>-31.8</v>
      </c>
      <c r="G37" s="51">
        <f t="shared" si="2"/>
        <v>3.1999999999999993</v>
      </c>
      <c r="H37" s="68">
        <f t="shared" si="3"/>
        <v>90.857142857142861</v>
      </c>
      <c r="I37" s="283"/>
      <c r="J37" s="283"/>
      <c r="K37" s="283"/>
      <c r="L37" s="283"/>
      <c r="M37" s="283"/>
      <c r="N37" s="283"/>
    </row>
    <row r="38" spans="1:17" s="5" customFormat="1" ht="20.100000000000001" customHeight="1">
      <c r="A38" s="193" t="s">
        <v>159</v>
      </c>
      <c r="B38" s="7">
        <v>1020</v>
      </c>
      <c r="C38" s="204">
        <f>SUM(C27,C28)</f>
        <v>1711.2999999999993</v>
      </c>
      <c r="D38" s="204">
        <f>SUM(D27,D28)</f>
        <v>3129.2999999999993</v>
      </c>
      <c r="E38" s="204">
        <f>SUM(E27,E28)</f>
        <v>809</v>
      </c>
      <c r="F38" s="204">
        <f>SUM(F27,F28)</f>
        <v>2013.1999999999998</v>
      </c>
      <c r="G38" s="56">
        <f t="shared" si="2"/>
        <v>1204.1999999999998</v>
      </c>
      <c r="H38" s="70">
        <f t="shared" si="3"/>
        <v>248.85043263288006</v>
      </c>
      <c r="I38" s="281"/>
      <c r="J38" s="281"/>
      <c r="K38" s="281"/>
      <c r="L38" s="281"/>
      <c r="M38" s="281"/>
      <c r="N38" s="281"/>
    </row>
    <row r="39" spans="1:17" s="5" customFormat="1" ht="20.100000000000001" customHeight="1">
      <c r="A39" s="193" t="s">
        <v>160</v>
      </c>
      <c r="B39" s="7">
        <v>1030</v>
      </c>
      <c r="C39" s="204">
        <f>SUM(C40:C59,C61)</f>
        <v>-2142.6999999999998</v>
      </c>
      <c r="D39" s="204">
        <f>SUM(D40:D59,D61)</f>
        <v>-2482.3000000000002</v>
      </c>
      <c r="E39" s="204">
        <f>SUM(E40:E59,E61)</f>
        <v>-1143</v>
      </c>
      <c r="F39" s="204">
        <f>SUM(F40:F59,F61)</f>
        <v>-1206.9000000000001</v>
      </c>
      <c r="G39" s="56">
        <f t="shared" si="2"/>
        <v>-63.900000000000091</v>
      </c>
      <c r="H39" s="70">
        <f t="shared" si="3"/>
        <v>105.59055118110237</v>
      </c>
      <c r="I39" s="281"/>
      <c r="J39" s="281"/>
      <c r="K39" s="281"/>
      <c r="L39" s="281"/>
      <c r="M39" s="281"/>
      <c r="N39" s="281"/>
      <c r="Q39" s="242"/>
    </row>
    <row r="40" spans="1:17" ht="20.100000000000001" customHeight="1">
      <c r="A40" s="209" t="s">
        <v>161</v>
      </c>
      <c r="B40" s="6">
        <v>1031</v>
      </c>
      <c r="C40" s="51" t="s">
        <v>152</v>
      </c>
      <c r="D40" s="51">
        <f>-9.3</f>
        <v>-9.3000000000000007</v>
      </c>
      <c r="E40" s="51" t="s">
        <v>152</v>
      </c>
      <c r="F40" s="51" t="s">
        <v>152</v>
      </c>
      <c r="G40" s="51" t="e">
        <f t="shared" si="2"/>
        <v>#VALUE!</v>
      </c>
      <c r="H40" s="68" t="e">
        <f t="shared" si="3"/>
        <v>#VALUE!</v>
      </c>
      <c r="I40" s="280"/>
      <c r="J40" s="280"/>
      <c r="K40" s="280"/>
      <c r="L40" s="280"/>
      <c r="M40" s="280"/>
      <c r="N40" s="280"/>
    </row>
    <row r="41" spans="1:17" ht="20.100000000000001" customHeight="1">
      <c r="A41" s="209" t="s">
        <v>162</v>
      </c>
      <c r="B41" s="6">
        <v>1032</v>
      </c>
      <c r="C41" s="51" t="s">
        <v>152</v>
      </c>
      <c r="D41" s="51" t="s">
        <v>152</v>
      </c>
      <c r="E41" s="51" t="s">
        <v>152</v>
      </c>
      <c r="F41" s="51" t="s">
        <v>152</v>
      </c>
      <c r="G41" s="51" t="e">
        <f t="shared" si="2"/>
        <v>#VALUE!</v>
      </c>
      <c r="H41" s="68" t="e">
        <f t="shared" si="3"/>
        <v>#VALUE!</v>
      </c>
      <c r="I41" s="280"/>
      <c r="J41" s="280"/>
      <c r="K41" s="280"/>
      <c r="L41" s="280"/>
      <c r="M41" s="280"/>
      <c r="N41" s="280"/>
    </row>
    <row r="42" spans="1:17" ht="20.100000000000001" customHeight="1">
      <c r="A42" s="209" t="s">
        <v>163</v>
      </c>
      <c r="B42" s="6">
        <v>1033</v>
      </c>
      <c r="C42" s="51" t="s">
        <v>152</v>
      </c>
      <c r="D42" s="51" t="s">
        <v>152</v>
      </c>
      <c r="E42" s="51" t="s">
        <v>152</v>
      </c>
      <c r="F42" s="51" t="s">
        <v>152</v>
      </c>
      <c r="G42" s="51" t="e">
        <f t="shared" si="2"/>
        <v>#VALUE!</v>
      </c>
      <c r="H42" s="68" t="e">
        <f t="shared" si="3"/>
        <v>#VALUE!</v>
      </c>
      <c r="I42" s="280"/>
      <c r="J42" s="280"/>
      <c r="K42" s="280"/>
      <c r="L42" s="280"/>
      <c r="M42" s="280"/>
      <c r="N42" s="280"/>
    </row>
    <row r="43" spans="1:17" ht="20.100000000000001" customHeight="1">
      <c r="A43" s="209" t="s">
        <v>164</v>
      </c>
      <c r="B43" s="6">
        <v>1034</v>
      </c>
      <c r="C43" s="51" t="s">
        <v>152</v>
      </c>
      <c r="D43" s="51" t="s">
        <v>152</v>
      </c>
      <c r="E43" s="51" t="s">
        <v>152</v>
      </c>
      <c r="F43" s="51" t="s">
        <v>152</v>
      </c>
      <c r="G43" s="51" t="e">
        <f t="shared" si="2"/>
        <v>#VALUE!</v>
      </c>
      <c r="H43" s="68" t="e">
        <f t="shared" si="3"/>
        <v>#VALUE!</v>
      </c>
      <c r="I43" s="280"/>
      <c r="J43" s="280"/>
      <c r="K43" s="280"/>
      <c r="L43" s="280"/>
      <c r="M43" s="280"/>
      <c r="N43" s="280"/>
    </row>
    <row r="44" spans="1:17" ht="20.100000000000001" customHeight="1">
      <c r="A44" s="209" t="s">
        <v>165</v>
      </c>
      <c r="B44" s="6">
        <v>1035</v>
      </c>
      <c r="C44" s="51" t="s">
        <v>152</v>
      </c>
      <c r="D44" s="51" t="s">
        <v>152</v>
      </c>
      <c r="E44" s="51" t="s">
        <v>152</v>
      </c>
      <c r="F44" s="51" t="s">
        <v>152</v>
      </c>
      <c r="G44" s="51" t="e">
        <f t="shared" si="2"/>
        <v>#VALUE!</v>
      </c>
      <c r="H44" s="68" t="e">
        <f t="shared" si="3"/>
        <v>#VALUE!</v>
      </c>
      <c r="I44" s="280"/>
      <c r="J44" s="280"/>
      <c r="K44" s="280"/>
      <c r="L44" s="280"/>
      <c r="M44" s="280"/>
      <c r="N44" s="280"/>
    </row>
    <row r="45" spans="1:17" s="2" customFormat="1" ht="20.100000000000001" customHeight="1">
      <c r="A45" s="209" t="s">
        <v>166</v>
      </c>
      <c r="B45" s="6">
        <v>1036</v>
      </c>
      <c r="C45" s="51">
        <v>-5.8</v>
      </c>
      <c r="D45" s="51">
        <f>-2.4+-4.5</f>
        <v>-6.9</v>
      </c>
      <c r="E45" s="51">
        <v>-2</v>
      </c>
      <c r="F45" s="51">
        <v>-4.5</v>
      </c>
      <c r="G45" s="51">
        <f t="shared" si="2"/>
        <v>-2.5</v>
      </c>
      <c r="H45" s="68">
        <f t="shared" si="3"/>
        <v>225</v>
      </c>
      <c r="I45" s="280" t="s">
        <v>442</v>
      </c>
      <c r="J45" s="280"/>
      <c r="K45" s="280"/>
      <c r="L45" s="280"/>
      <c r="M45" s="280"/>
      <c r="N45" s="280"/>
    </row>
    <row r="46" spans="1:17" s="2" customFormat="1" ht="20.100000000000001" customHeight="1">
      <c r="A46" s="209" t="s">
        <v>167</v>
      </c>
      <c r="B46" s="6">
        <v>1037</v>
      </c>
      <c r="C46" s="51">
        <v>-7.3</v>
      </c>
      <c r="D46" s="51">
        <f>-1.8+-4.6</f>
        <v>-6.3999999999999995</v>
      </c>
      <c r="E46" s="51">
        <v>-4</v>
      </c>
      <c r="F46" s="51">
        <v>-4.5999999999999996</v>
      </c>
      <c r="G46" s="51">
        <f t="shared" si="2"/>
        <v>-0.59999999999999964</v>
      </c>
      <c r="H46" s="68">
        <f t="shared" si="3"/>
        <v>114.99999999999999</v>
      </c>
      <c r="I46" s="280"/>
      <c r="J46" s="280"/>
      <c r="K46" s="280"/>
      <c r="L46" s="280"/>
      <c r="M46" s="280"/>
      <c r="N46" s="280"/>
    </row>
    <row r="47" spans="1:17" s="2" customFormat="1" ht="20.100000000000001" customHeight="1">
      <c r="A47" s="209" t="s">
        <v>168</v>
      </c>
      <c r="B47" s="6">
        <v>1038</v>
      </c>
      <c r="C47" s="51">
        <v>-1464.8</v>
      </c>
      <c r="D47" s="51">
        <f>-841.2+-916</f>
        <v>-1757.2</v>
      </c>
      <c r="E47" s="51">
        <v>-850</v>
      </c>
      <c r="F47" s="51">
        <v>-916</v>
      </c>
      <c r="G47" s="51">
        <f t="shared" si="2"/>
        <v>-66</v>
      </c>
      <c r="H47" s="68">
        <f t="shared" si="3"/>
        <v>107.76470588235294</v>
      </c>
      <c r="I47" s="284" t="s">
        <v>443</v>
      </c>
      <c r="J47" s="284"/>
      <c r="K47" s="284"/>
      <c r="L47" s="284"/>
      <c r="M47" s="284"/>
      <c r="N47" s="284"/>
    </row>
    <row r="48" spans="1:17" s="2" customFormat="1" ht="20.100000000000001" customHeight="1">
      <c r="A48" s="209" t="s">
        <v>169</v>
      </c>
      <c r="B48" s="6">
        <v>1039</v>
      </c>
      <c r="C48" s="51">
        <v>-294.10000000000002</v>
      </c>
      <c r="D48" s="51">
        <f>-171.4+-181</f>
        <v>-352.4</v>
      </c>
      <c r="E48" s="51">
        <v>-187</v>
      </c>
      <c r="F48" s="51">
        <v>-180.6</v>
      </c>
      <c r="G48" s="51">
        <f t="shared" si="2"/>
        <v>6.4000000000000057</v>
      </c>
      <c r="H48" s="68">
        <f t="shared" si="3"/>
        <v>96.577540106951858</v>
      </c>
      <c r="I48" s="280" t="s">
        <v>441</v>
      </c>
      <c r="J48" s="280"/>
      <c r="K48" s="280"/>
      <c r="L48" s="280"/>
      <c r="M48" s="280"/>
      <c r="N48" s="280"/>
    </row>
    <row r="49" spans="1:14" s="2" customFormat="1" ht="42.75" customHeight="1">
      <c r="A49" s="209" t="s">
        <v>170</v>
      </c>
      <c r="B49" s="6">
        <v>1040</v>
      </c>
      <c r="C49" s="51">
        <v>-91.8</v>
      </c>
      <c r="D49" s="51">
        <f>-35.1+-27.2</f>
        <v>-62.3</v>
      </c>
      <c r="E49" s="51">
        <v>-20</v>
      </c>
      <c r="F49" s="51">
        <v>-27.2</v>
      </c>
      <c r="G49" s="51">
        <f t="shared" si="2"/>
        <v>-7.1999999999999993</v>
      </c>
      <c r="H49" s="68">
        <f t="shared" si="3"/>
        <v>136</v>
      </c>
      <c r="I49" s="280" t="s">
        <v>435</v>
      </c>
      <c r="J49" s="280"/>
      <c r="K49" s="280"/>
      <c r="L49" s="280"/>
      <c r="M49" s="280"/>
      <c r="N49" s="280"/>
    </row>
    <row r="50" spans="1:14" s="2" customFormat="1" ht="42.75" customHeight="1">
      <c r="A50" s="209" t="s">
        <v>171</v>
      </c>
      <c r="B50" s="6">
        <v>1041</v>
      </c>
      <c r="C50" s="51" t="s">
        <v>152</v>
      </c>
      <c r="D50" s="51" t="s">
        <v>152</v>
      </c>
      <c r="E50" s="51" t="s">
        <v>152</v>
      </c>
      <c r="F50" s="51" t="s">
        <v>152</v>
      </c>
      <c r="G50" s="51" t="e">
        <f t="shared" si="2"/>
        <v>#VALUE!</v>
      </c>
      <c r="H50" s="68" t="e">
        <f t="shared" si="3"/>
        <v>#VALUE!</v>
      </c>
      <c r="I50" s="280"/>
      <c r="J50" s="280"/>
      <c r="K50" s="280"/>
      <c r="L50" s="280"/>
      <c r="M50" s="280"/>
      <c r="N50" s="280"/>
    </row>
    <row r="51" spans="1:14" s="2" customFormat="1" ht="20.100000000000001" customHeight="1">
      <c r="A51" s="209" t="s">
        <v>172</v>
      </c>
      <c r="B51" s="6">
        <v>1042</v>
      </c>
      <c r="C51" s="51" t="s">
        <v>152</v>
      </c>
      <c r="D51" s="51" t="s">
        <v>152</v>
      </c>
      <c r="E51" s="51" t="s">
        <v>152</v>
      </c>
      <c r="F51" s="51" t="s">
        <v>152</v>
      </c>
      <c r="G51" s="51" t="e">
        <f t="shared" si="2"/>
        <v>#VALUE!</v>
      </c>
      <c r="H51" s="68" t="e">
        <f t="shared" si="3"/>
        <v>#VALUE!</v>
      </c>
      <c r="I51" s="280"/>
      <c r="J51" s="280"/>
      <c r="K51" s="280"/>
      <c r="L51" s="280"/>
      <c r="M51" s="280"/>
      <c r="N51" s="280"/>
    </row>
    <row r="52" spans="1:14" s="2" customFormat="1" ht="20.100000000000001" customHeight="1">
      <c r="A52" s="209" t="s">
        <v>173</v>
      </c>
      <c r="B52" s="6">
        <v>1043</v>
      </c>
      <c r="C52" s="51" t="s">
        <v>152</v>
      </c>
      <c r="D52" s="51" t="s">
        <v>152</v>
      </c>
      <c r="E52" s="51" t="s">
        <v>152</v>
      </c>
      <c r="F52" s="51" t="s">
        <v>152</v>
      </c>
      <c r="G52" s="51" t="e">
        <f t="shared" si="2"/>
        <v>#VALUE!</v>
      </c>
      <c r="H52" s="68" t="e">
        <f t="shared" si="3"/>
        <v>#VALUE!</v>
      </c>
      <c r="I52" s="280"/>
      <c r="J52" s="280"/>
      <c r="K52" s="280"/>
      <c r="L52" s="280"/>
      <c r="M52" s="280"/>
      <c r="N52" s="280"/>
    </row>
    <row r="53" spans="1:14" s="2" customFormat="1" ht="20.100000000000001" customHeight="1">
      <c r="A53" s="209" t="s">
        <v>174</v>
      </c>
      <c r="B53" s="6">
        <v>1044</v>
      </c>
      <c r="C53" s="51" t="s">
        <v>152</v>
      </c>
      <c r="D53" s="51" t="s">
        <v>152</v>
      </c>
      <c r="E53" s="51">
        <v>-3</v>
      </c>
      <c r="F53" s="51" t="s">
        <v>152</v>
      </c>
      <c r="G53" s="51" t="e">
        <f t="shared" si="2"/>
        <v>#VALUE!</v>
      </c>
      <c r="H53" s="68" t="e">
        <f t="shared" si="3"/>
        <v>#VALUE!</v>
      </c>
      <c r="I53" s="280"/>
      <c r="J53" s="280"/>
      <c r="K53" s="280"/>
      <c r="L53" s="280"/>
      <c r="M53" s="280"/>
      <c r="N53" s="280"/>
    </row>
    <row r="54" spans="1:14" s="2" customFormat="1" ht="20.100000000000001" customHeight="1">
      <c r="A54" s="209" t="s">
        <v>175</v>
      </c>
      <c r="B54" s="6">
        <v>1045</v>
      </c>
      <c r="C54" s="51" t="s">
        <v>152</v>
      </c>
      <c r="D54" s="51" t="s">
        <v>152</v>
      </c>
      <c r="E54" s="51" t="s">
        <v>152</v>
      </c>
      <c r="F54" s="51" t="s">
        <v>152</v>
      </c>
      <c r="G54" s="51" t="e">
        <f t="shared" si="2"/>
        <v>#VALUE!</v>
      </c>
      <c r="H54" s="68" t="e">
        <f t="shared" si="3"/>
        <v>#VALUE!</v>
      </c>
      <c r="I54" s="280"/>
      <c r="J54" s="280"/>
      <c r="K54" s="280"/>
      <c r="L54" s="280"/>
      <c r="M54" s="280"/>
      <c r="N54" s="280"/>
    </row>
    <row r="55" spans="1:14" s="2" customFormat="1" ht="20.100000000000001" customHeight="1">
      <c r="A55" s="209" t="s">
        <v>176</v>
      </c>
      <c r="B55" s="6">
        <v>1046</v>
      </c>
      <c r="C55" s="51" t="s">
        <v>152</v>
      </c>
      <c r="D55" s="51" t="s">
        <v>152</v>
      </c>
      <c r="E55" s="51" t="s">
        <v>152</v>
      </c>
      <c r="F55" s="51" t="s">
        <v>152</v>
      </c>
      <c r="G55" s="51" t="e">
        <f t="shared" si="2"/>
        <v>#VALUE!</v>
      </c>
      <c r="H55" s="68" t="e">
        <f t="shared" si="3"/>
        <v>#VALUE!</v>
      </c>
      <c r="I55" s="280"/>
      <c r="J55" s="280"/>
      <c r="K55" s="280"/>
      <c r="L55" s="280"/>
      <c r="M55" s="280"/>
      <c r="N55" s="280"/>
    </row>
    <row r="56" spans="1:14" s="2" customFormat="1" ht="20.100000000000001" customHeight="1">
      <c r="A56" s="209" t="s">
        <v>177</v>
      </c>
      <c r="B56" s="6">
        <v>1047</v>
      </c>
      <c r="C56" s="51" t="s">
        <v>152</v>
      </c>
      <c r="D56" s="51" t="s">
        <v>152</v>
      </c>
      <c r="E56" s="51" t="s">
        <v>152</v>
      </c>
      <c r="F56" s="51" t="s">
        <v>152</v>
      </c>
      <c r="G56" s="51" t="e">
        <f t="shared" si="2"/>
        <v>#VALUE!</v>
      </c>
      <c r="H56" s="68" t="e">
        <f t="shared" si="3"/>
        <v>#VALUE!</v>
      </c>
      <c r="I56" s="280"/>
      <c r="J56" s="280"/>
      <c r="K56" s="280"/>
      <c r="L56" s="280"/>
      <c r="M56" s="280"/>
      <c r="N56" s="280"/>
    </row>
    <row r="57" spans="1:14" s="2" customFormat="1" ht="20.100000000000001" customHeight="1">
      <c r="A57" s="209" t="s">
        <v>178</v>
      </c>
      <c r="B57" s="6">
        <v>1048</v>
      </c>
      <c r="C57" s="51" t="s">
        <v>152</v>
      </c>
      <c r="D57" s="51" t="s">
        <v>152</v>
      </c>
      <c r="E57" s="51" t="s">
        <v>152</v>
      </c>
      <c r="F57" s="51" t="s">
        <v>152</v>
      </c>
      <c r="G57" s="51" t="e">
        <f t="shared" si="2"/>
        <v>#VALUE!</v>
      </c>
      <c r="H57" s="68" t="e">
        <f t="shared" si="3"/>
        <v>#VALUE!</v>
      </c>
      <c r="I57" s="280"/>
      <c r="J57" s="280"/>
      <c r="K57" s="280"/>
      <c r="L57" s="280"/>
      <c r="M57" s="280"/>
      <c r="N57" s="280"/>
    </row>
    <row r="58" spans="1:14" s="2" customFormat="1" ht="20.100000000000001" customHeight="1">
      <c r="A58" s="209" t="s">
        <v>179</v>
      </c>
      <c r="B58" s="6">
        <v>1049</v>
      </c>
      <c r="C58" s="51">
        <v>-2</v>
      </c>
      <c r="D58" s="51" t="s">
        <v>152</v>
      </c>
      <c r="E58" s="51">
        <v>-2</v>
      </c>
      <c r="F58" s="51" t="s">
        <v>152</v>
      </c>
      <c r="G58" s="51" t="e">
        <f t="shared" si="2"/>
        <v>#VALUE!</v>
      </c>
      <c r="H58" s="68" t="e">
        <f t="shared" si="3"/>
        <v>#VALUE!</v>
      </c>
      <c r="I58" s="280"/>
      <c r="J58" s="280"/>
      <c r="K58" s="280"/>
      <c r="L58" s="280"/>
      <c r="M58" s="280"/>
      <c r="N58" s="280"/>
    </row>
    <row r="59" spans="1:14" s="2" customFormat="1" ht="42.75" customHeight="1">
      <c r="A59" s="209" t="s">
        <v>180</v>
      </c>
      <c r="B59" s="6">
        <v>1050</v>
      </c>
      <c r="C59" s="51" t="s">
        <v>152</v>
      </c>
      <c r="D59" s="51">
        <f>-22</f>
        <v>-22</v>
      </c>
      <c r="E59" s="51" t="s">
        <v>152</v>
      </c>
      <c r="F59" s="51" t="s">
        <v>152</v>
      </c>
      <c r="G59" s="51" t="e">
        <f t="shared" si="2"/>
        <v>#VALUE!</v>
      </c>
      <c r="H59" s="68" t="e">
        <f t="shared" si="3"/>
        <v>#VALUE!</v>
      </c>
      <c r="I59" s="280"/>
      <c r="J59" s="280"/>
      <c r="K59" s="280"/>
      <c r="L59" s="280"/>
      <c r="M59" s="280"/>
      <c r="N59" s="280"/>
    </row>
    <row r="60" spans="1:14" s="2" customFormat="1" ht="20.100000000000001" customHeight="1">
      <c r="A60" s="209" t="s">
        <v>181</v>
      </c>
      <c r="B60" s="192" t="s">
        <v>182</v>
      </c>
      <c r="C60" s="51" t="s">
        <v>152</v>
      </c>
      <c r="D60" s="51">
        <f>-22</f>
        <v>-22</v>
      </c>
      <c r="E60" s="51" t="s">
        <v>152</v>
      </c>
      <c r="F60" s="51" t="s">
        <v>152</v>
      </c>
      <c r="G60" s="51" t="e">
        <f t="shared" si="2"/>
        <v>#VALUE!</v>
      </c>
      <c r="H60" s="68" t="e">
        <f t="shared" si="3"/>
        <v>#VALUE!</v>
      </c>
      <c r="I60" s="280"/>
      <c r="J60" s="280"/>
      <c r="K60" s="280"/>
      <c r="L60" s="280"/>
      <c r="M60" s="280"/>
      <c r="N60" s="280"/>
    </row>
    <row r="61" spans="1:14" s="2" customFormat="1" ht="20.100000000000001" customHeight="1">
      <c r="A61" s="209" t="s">
        <v>183</v>
      </c>
      <c r="B61" s="6">
        <v>1051</v>
      </c>
      <c r="C61" s="245">
        <v>-276.89999999999998</v>
      </c>
      <c r="D61" s="51">
        <f>-191.8+-74</f>
        <v>-265.8</v>
      </c>
      <c r="E61" s="51">
        <v>-75</v>
      </c>
      <c r="F61" s="51">
        <v>-74</v>
      </c>
      <c r="G61" s="51">
        <f t="shared" si="2"/>
        <v>1</v>
      </c>
      <c r="H61" s="68">
        <f t="shared" si="3"/>
        <v>98.666666666666671</v>
      </c>
      <c r="I61" s="280"/>
      <c r="J61" s="280"/>
      <c r="K61" s="280"/>
      <c r="L61" s="280"/>
      <c r="M61" s="280"/>
      <c r="N61" s="280"/>
    </row>
    <row r="62" spans="1:14" s="5" customFormat="1" ht="20.100000000000001" customHeight="1">
      <c r="A62" s="193" t="s">
        <v>184</v>
      </c>
      <c r="B62" s="7">
        <v>1060</v>
      </c>
      <c r="C62" s="204">
        <f>SUM(C63:C69)</f>
        <v>0</v>
      </c>
      <c r="D62" s="204">
        <f>SUM(D63:D69)</f>
        <v>0</v>
      </c>
      <c r="E62" s="204">
        <f>SUM(E63:E69)</f>
        <v>0</v>
      </c>
      <c r="F62" s="204">
        <f>SUM(F63:F69)</f>
        <v>0</v>
      </c>
      <c r="G62" s="56">
        <f t="shared" si="2"/>
        <v>0</v>
      </c>
      <c r="H62" s="70" t="e">
        <f t="shared" si="3"/>
        <v>#DIV/0!</v>
      </c>
      <c r="I62" s="281"/>
      <c r="J62" s="281"/>
      <c r="K62" s="281"/>
      <c r="L62" s="281"/>
      <c r="M62" s="281"/>
      <c r="N62" s="281"/>
    </row>
    <row r="63" spans="1:14" s="2" customFormat="1" ht="20.100000000000001" customHeight="1">
      <c r="A63" s="209" t="s">
        <v>185</v>
      </c>
      <c r="B63" s="6">
        <v>1061</v>
      </c>
      <c r="C63" s="51" t="s">
        <v>152</v>
      </c>
      <c r="D63" s="51" t="s">
        <v>152</v>
      </c>
      <c r="E63" s="51" t="s">
        <v>152</v>
      </c>
      <c r="F63" s="51" t="s">
        <v>152</v>
      </c>
      <c r="G63" s="51" t="e">
        <f t="shared" si="2"/>
        <v>#VALUE!</v>
      </c>
      <c r="H63" s="68" t="e">
        <f t="shared" si="3"/>
        <v>#VALUE!</v>
      </c>
      <c r="I63" s="280"/>
      <c r="J63" s="280"/>
      <c r="K63" s="280"/>
      <c r="L63" s="280"/>
      <c r="M63" s="280"/>
      <c r="N63" s="280"/>
    </row>
    <row r="64" spans="1:14" s="2" customFormat="1" ht="20.100000000000001" customHeight="1">
      <c r="A64" s="209" t="s">
        <v>186</v>
      </c>
      <c r="B64" s="6">
        <v>1062</v>
      </c>
      <c r="C64" s="51" t="s">
        <v>152</v>
      </c>
      <c r="D64" s="51" t="s">
        <v>152</v>
      </c>
      <c r="E64" s="51" t="s">
        <v>152</v>
      </c>
      <c r="F64" s="51" t="s">
        <v>152</v>
      </c>
      <c r="G64" s="51" t="e">
        <f t="shared" si="2"/>
        <v>#VALUE!</v>
      </c>
      <c r="H64" s="68" t="e">
        <f t="shared" si="3"/>
        <v>#VALUE!</v>
      </c>
      <c r="I64" s="280"/>
      <c r="J64" s="280"/>
      <c r="K64" s="280"/>
      <c r="L64" s="280"/>
      <c r="M64" s="280"/>
      <c r="N64" s="280"/>
    </row>
    <row r="65" spans="1:14" s="2" customFormat="1" ht="20.100000000000001" customHeight="1">
      <c r="A65" s="209" t="s">
        <v>168</v>
      </c>
      <c r="B65" s="6">
        <v>1063</v>
      </c>
      <c r="C65" s="51" t="s">
        <v>152</v>
      </c>
      <c r="D65" s="51" t="s">
        <v>152</v>
      </c>
      <c r="E65" s="51" t="s">
        <v>152</v>
      </c>
      <c r="F65" s="51" t="s">
        <v>152</v>
      </c>
      <c r="G65" s="51" t="e">
        <f t="shared" si="2"/>
        <v>#VALUE!</v>
      </c>
      <c r="H65" s="68" t="e">
        <f t="shared" si="3"/>
        <v>#VALUE!</v>
      </c>
      <c r="I65" s="280"/>
      <c r="J65" s="280"/>
      <c r="K65" s="280"/>
      <c r="L65" s="280"/>
      <c r="M65" s="280"/>
      <c r="N65" s="280"/>
    </row>
    <row r="66" spans="1:14" s="2" customFormat="1" ht="20.100000000000001" customHeight="1">
      <c r="A66" s="209" t="s">
        <v>169</v>
      </c>
      <c r="B66" s="6">
        <v>1064</v>
      </c>
      <c r="C66" s="51" t="s">
        <v>152</v>
      </c>
      <c r="D66" s="51" t="s">
        <v>152</v>
      </c>
      <c r="E66" s="51" t="s">
        <v>152</v>
      </c>
      <c r="F66" s="51" t="s">
        <v>152</v>
      </c>
      <c r="G66" s="51" t="e">
        <f t="shared" si="2"/>
        <v>#VALUE!</v>
      </c>
      <c r="H66" s="68" t="e">
        <f t="shared" si="3"/>
        <v>#VALUE!</v>
      </c>
      <c r="I66" s="280"/>
      <c r="J66" s="280"/>
      <c r="K66" s="280"/>
      <c r="L66" s="280"/>
      <c r="M66" s="280"/>
      <c r="N66" s="280"/>
    </row>
    <row r="67" spans="1:14" s="2" customFormat="1" ht="20.100000000000001" customHeight="1">
      <c r="A67" s="209" t="s">
        <v>187</v>
      </c>
      <c r="B67" s="6">
        <v>1065</v>
      </c>
      <c r="C67" s="51" t="s">
        <v>152</v>
      </c>
      <c r="D67" s="51" t="s">
        <v>152</v>
      </c>
      <c r="E67" s="51" t="s">
        <v>152</v>
      </c>
      <c r="F67" s="51" t="s">
        <v>152</v>
      </c>
      <c r="G67" s="51" t="e">
        <f t="shared" si="2"/>
        <v>#VALUE!</v>
      </c>
      <c r="H67" s="68" t="e">
        <f t="shared" si="3"/>
        <v>#VALUE!</v>
      </c>
      <c r="I67" s="280"/>
      <c r="J67" s="280"/>
      <c r="K67" s="280"/>
      <c r="L67" s="280"/>
      <c r="M67" s="280"/>
      <c r="N67" s="280"/>
    </row>
    <row r="68" spans="1:14" s="2" customFormat="1" ht="21" customHeight="1">
      <c r="A68" s="209" t="s">
        <v>188</v>
      </c>
      <c r="B68" s="6">
        <v>1066</v>
      </c>
      <c r="C68" s="51" t="s">
        <v>152</v>
      </c>
      <c r="D68" s="51" t="s">
        <v>152</v>
      </c>
      <c r="E68" s="51" t="s">
        <v>152</v>
      </c>
      <c r="F68" s="51" t="s">
        <v>152</v>
      </c>
      <c r="G68" s="51" t="e">
        <f t="shared" si="2"/>
        <v>#VALUE!</v>
      </c>
      <c r="H68" s="68" t="e">
        <f t="shared" si="3"/>
        <v>#VALUE!</v>
      </c>
      <c r="I68" s="280"/>
      <c r="J68" s="280"/>
      <c r="K68" s="280"/>
      <c r="L68" s="280"/>
      <c r="M68" s="280"/>
      <c r="N68" s="280"/>
    </row>
    <row r="69" spans="1:14" s="2" customFormat="1" ht="20.100000000000001" customHeight="1">
      <c r="A69" s="209" t="s">
        <v>189</v>
      </c>
      <c r="B69" s="6">
        <v>1067</v>
      </c>
      <c r="C69" s="51" t="s">
        <v>152</v>
      </c>
      <c r="D69" s="51" t="s">
        <v>152</v>
      </c>
      <c r="E69" s="51"/>
      <c r="F69" s="51" t="s">
        <v>152</v>
      </c>
      <c r="G69" s="51" t="e">
        <f t="shared" si="2"/>
        <v>#VALUE!</v>
      </c>
      <c r="H69" s="68" t="e">
        <f t="shared" si="3"/>
        <v>#VALUE!</v>
      </c>
      <c r="I69" s="280"/>
      <c r="J69" s="280"/>
      <c r="K69" s="280"/>
      <c r="L69" s="280"/>
      <c r="M69" s="280"/>
      <c r="N69" s="280"/>
    </row>
    <row r="70" spans="1:14" s="11" customFormat="1" ht="20.100000000000001" customHeight="1">
      <c r="A70" s="193" t="s">
        <v>190</v>
      </c>
      <c r="B70" s="7">
        <v>1070</v>
      </c>
      <c r="C70" s="204">
        <f>SUM(C71:C73)</f>
        <v>972</v>
      </c>
      <c r="D70" s="204">
        <f>SUM(D71:D73)</f>
        <v>916.4</v>
      </c>
      <c r="E70" s="204">
        <f>SUM(E71:E73)</f>
        <v>384</v>
      </c>
      <c r="F70" s="204">
        <f>SUM(F71:F73)</f>
        <v>408</v>
      </c>
      <c r="G70" s="56">
        <f t="shared" si="2"/>
        <v>24</v>
      </c>
      <c r="H70" s="70">
        <f t="shared" si="3"/>
        <v>106.25</v>
      </c>
      <c r="I70" s="281"/>
      <c r="J70" s="281"/>
      <c r="K70" s="281"/>
      <c r="L70" s="281"/>
      <c r="M70" s="281"/>
      <c r="N70" s="281"/>
    </row>
    <row r="71" spans="1:14" s="2" customFormat="1" ht="20.100000000000001" customHeight="1">
      <c r="A71" s="209" t="s">
        <v>191</v>
      </c>
      <c r="B71" s="6">
        <v>1071</v>
      </c>
      <c r="C71" s="51"/>
      <c r="D71" s="51"/>
      <c r="E71" s="51"/>
      <c r="F71" s="51"/>
      <c r="G71" s="51">
        <f t="shared" si="2"/>
        <v>0</v>
      </c>
      <c r="H71" s="68" t="e">
        <f t="shared" si="3"/>
        <v>#DIV/0!</v>
      </c>
      <c r="I71" s="280"/>
      <c r="J71" s="280"/>
      <c r="K71" s="280"/>
      <c r="L71" s="280"/>
      <c r="M71" s="280"/>
      <c r="N71" s="280"/>
    </row>
    <row r="72" spans="1:14" s="2" customFormat="1" ht="20.100000000000001" customHeight="1">
      <c r="A72" s="209" t="s">
        <v>192</v>
      </c>
      <c r="B72" s="6">
        <v>1072</v>
      </c>
      <c r="C72" s="51"/>
      <c r="D72" s="51"/>
      <c r="E72" s="51"/>
      <c r="F72" s="51"/>
      <c r="G72" s="51">
        <f t="shared" si="2"/>
        <v>0</v>
      </c>
      <c r="H72" s="68" t="e">
        <f t="shared" si="3"/>
        <v>#DIV/0!</v>
      </c>
      <c r="I72" s="280"/>
      <c r="J72" s="280"/>
      <c r="K72" s="280"/>
      <c r="L72" s="280"/>
      <c r="M72" s="280"/>
      <c r="N72" s="280"/>
    </row>
    <row r="73" spans="1:14" s="2" customFormat="1" ht="20.100000000000001" customHeight="1">
      <c r="A73" s="209" t="s">
        <v>421</v>
      </c>
      <c r="B73" s="6">
        <v>1073</v>
      </c>
      <c r="C73" s="51">
        <v>972</v>
      </c>
      <c r="D73" s="51">
        <f>508.4+408</f>
        <v>916.4</v>
      </c>
      <c r="E73" s="51">
        <v>384</v>
      </c>
      <c r="F73" s="51">
        <v>408</v>
      </c>
      <c r="G73" s="51">
        <f t="shared" si="2"/>
        <v>24</v>
      </c>
      <c r="H73" s="68">
        <f t="shared" si="3"/>
        <v>106.25</v>
      </c>
      <c r="I73" s="280"/>
      <c r="J73" s="280"/>
      <c r="K73" s="280"/>
      <c r="L73" s="280"/>
      <c r="M73" s="280"/>
      <c r="N73" s="280"/>
    </row>
    <row r="74" spans="1:14" s="11" customFormat="1" ht="20.100000000000001" customHeight="1">
      <c r="A74" s="104" t="s">
        <v>193</v>
      </c>
      <c r="B74" s="7">
        <v>1080</v>
      </c>
      <c r="C74" s="204">
        <f>SUM(C75:C80)</f>
        <v>-141.69999999999999</v>
      </c>
      <c r="D74" s="204">
        <f>SUM(D75:D80)</f>
        <v>-120.4</v>
      </c>
      <c r="E74" s="204">
        <f>SUM(E75:E80)</f>
        <v>-60</v>
      </c>
      <c r="F74" s="204">
        <f>SUM(F75:F80)</f>
        <v>-67.3</v>
      </c>
      <c r="G74" s="56">
        <f t="shared" si="2"/>
        <v>-7.2999999999999972</v>
      </c>
      <c r="H74" s="70">
        <f t="shared" si="3"/>
        <v>112.16666666666666</v>
      </c>
      <c r="I74" s="281"/>
      <c r="J74" s="281"/>
      <c r="K74" s="281"/>
      <c r="L74" s="281"/>
      <c r="M74" s="281"/>
      <c r="N74" s="281"/>
    </row>
    <row r="75" spans="1:14" s="2" customFormat="1" ht="20.100000000000001" customHeight="1">
      <c r="A75" s="209" t="s">
        <v>191</v>
      </c>
      <c r="B75" s="6">
        <v>1081</v>
      </c>
      <c r="C75" s="51" t="s">
        <v>152</v>
      </c>
      <c r="D75" s="51" t="s">
        <v>152</v>
      </c>
      <c r="E75" s="51" t="s">
        <v>152</v>
      </c>
      <c r="F75" s="51" t="s">
        <v>152</v>
      </c>
      <c r="G75" s="56" t="e">
        <f t="shared" si="2"/>
        <v>#VALUE!</v>
      </c>
      <c r="H75" s="70" t="e">
        <f t="shared" si="3"/>
        <v>#VALUE!</v>
      </c>
      <c r="I75" s="280"/>
      <c r="J75" s="280"/>
      <c r="K75" s="280"/>
      <c r="L75" s="280"/>
      <c r="M75" s="280"/>
      <c r="N75" s="280"/>
    </row>
    <row r="76" spans="1:14" s="2" customFormat="1" ht="20.100000000000001" customHeight="1">
      <c r="A76" s="209" t="s">
        <v>194</v>
      </c>
      <c r="B76" s="6">
        <v>1082</v>
      </c>
      <c r="C76" s="51" t="s">
        <v>152</v>
      </c>
      <c r="D76" s="51" t="s">
        <v>152</v>
      </c>
      <c r="E76" s="51" t="s">
        <v>152</v>
      </c>
      <c r="F76" s="51" t="s">
        <v>152</v>
      </c>
      <c r="G76" s="56" t="e">
        <f t="shared" si="2"/>
        <v>#VALUE!</v>
      </c>
      <c r="H76" s="70" t="e">
        <f t="shared" si="3"/>
        <v>#VALUE!</v>
      </c>
      <c r="I76" s="280"/>
      <c r="J76" s="280"/>
      <c r="K76" s="280"/>
      <c r="L76" s="280"/>
      <c r="M76" s="280"/>
      <c r="N76" s="280"/>
    </row>
    <row r="77" spans="1:14" s="2" customFormat="1" ht="20.100000000000001" customHeight="1">
      <c r="A77" s="209" t="s">
        <v>195</v>
      </c>
      <c r="B77" s="6">
        <v>1083</v>
      </c>
      <c r="C77" s="51" t="s">
        <v>152</v>
      </c>
      <c r="D77" s="51" t="s">
        <v>152</v>
      </c>
      <c r="E77" s="51" t="s">
        <v>152</v>
      </c>
      <c r="F77" s="51" t="s">
        <v>152</v>
      </c>
      <c r="G77" s="56" t="e">
        <f t="shared" si="2"/>
        <v>#VALUE!</v>
      </c>
      <c r="H77" s="70" t="e">
        <f t="shared" si="3"/>
        <v>#VALUE!</v>
      </c>
      <c r="I77" s="280"/>
      <c r="J77" s="280"/>
      <c r="K77" s="280"/>
      <c r="L77" s="280"/>
      <c r="M77" s="280"/>
      <c r="N77" s="280"/>
    </row>
    <row r="78" spans="1:14" s="2" customFormat="1" ht="20.100000000000001" customHeight="1">
      <c r="A78" s="209" t="s">
        <v>196</v>
      </c>
      <c r="B78" s="6">
        <v>1084</v>
      </c>
      <c r="C78" s="51" t="s">
        <v>152</v>
      </c>
      <c r="D78" s="51" t="s">
        <v>152</v>
      </c>
      <c r="E78" s="51" t="s">
        <v>152</v>
      </c>
      <c r="F78" s="51" t="s">
        <v>152</v>
      </c>
      <c r="G78" s="56" t="e">
        <f t="shared" si="2"/>
        <v>#VALUE!</v>
      </c>
      <c r="H78" s="70" t="e">
        <f t="shared" si="3"/>
        <v>#VALUE!</v>
      </c>
      <c r="I78" s="280"/>
      <c r="J78" s="280"/>
      <c r="K78" s="280"/>
      <c r="L78" s="280"/>
      <c r="M78" s="280"/>
      <c r="N78" s="280"/>
    </row>
    <row r="79" spans="1:14" s="2" customFormat="1" ht="20.100000000000001" customHeight="1">
      <c r="A79" s="209" t="s">
        <v>197</v>
      </c>
      <c r="B79" s="6">
        <v>1085</v>
      </c>
      <c r="C79" s="51" t="s">
        <v>152</v>
      </c>
      <c r="D79" s="51" t="s">
        <v>152</v>
      </c>
      <c r="E79" s="51" t="s">
        <v>152</v>
      </c>
      <c r="F79" s="51" t="s">
        <v>152</v>
      </c>
      <c r="G79" s="56" t="e">
        <f t="shared" si="2"/>
        <v>#VALUE!</v>
      </c>
      <c r="H79" s="70" t="e">
        <f t="shared" si="3"/>
        <v>#VALUE!</v>
      </c>
      <c r="I79" s="280"/>
      <c r="J79" s="280"/>
      <c r="K79" s="280"/>
      <c r="L79" s="280"/>
      <c r="M79" s="280"/>
      <c r="N79" s="280"/>
    </row>
    <row r="80" spans="1:14" s="2" customFormat="1" ht="20.100000000000001" customHeight="1">
      <c r="A80" s="209" t="s">
        <v>436</v>
      </c>
      <c r="B80" s="6">
        <v>1086</v>
      </c>
      <c r="C80" s="51">
        <v>-141.69999999999999</v>
      </c>
      <c r="D80" s="51">
        <f>-53.1+-67.3</f>
        <v>-120.4</v>
      </c>
      <c r="E80" s="51">
        <v>-60</v>
      </c>
      <c r="F80" s="51">
        <v>-67.3</v>
      </c>
      <c r="G80" s="56">
        <f t="shared" si="2"/>
        <v>-7.2999999999999972</v>
      </c>
      <c r="H80" s="70">
        <f t="shared" si="3"/>
        <v>112.16666666666666</v>
      </c>
      <c r="I80" s="280"/>
      <c r="J80" s="280"/>
      <c r="K80" s="280"/>
      <c r="L80" s="280"/>
      <c r="M80" s="280"/>
      <c r="N80" s="280"/>
    </row>
    <row r="81" spans="1:14" s="5" customFormat="1" ht="20.100000000000001" customHeight="1">
      <c r="A81" s="193" t="s">
        <v>198</v>
      </c>
      <c r="B81" s="7">
        <v>1100</v>
      </c>
      <c r="C81" s="204">
        <f>SUM(C38,C39,C62,C70,C74)</f>
        <v>398.89999999999947</v>
      </c>
      <c r="D81" s="204">
        <f>SUM(D38,D39,D62,D70,D74)</f>
        <v>1442.9999999999991</v>
      </c>
      <c r="E81" s="204">
        <f>SUM(E38,E39,E62,E70,E74)</f>
        <v>-10</v>
      </c>
      <c r="F81" s="204">
        <f>SUM(F38,F39,F62,F70,F74)</f>
        <v>1146.9999999999998</v>
      </c>
      <c r="G81" s="56">
        <f t="shared" si="2"/>
        <v>1156.9999999999998</v>
      </c>
      <c r="H81" s="70">
        <f t="shared" si="3"/>
        <v>-11469.999999999998</v>
      </c>
      <c r="I81" s="281"/>
      <c r="J81" s="281"/>
      <c r="K81" s="281"/>
      <c r="L81" s="281"/>
      <c r="M81" s="281"/>
      <c r="N81" s="281"/>
    </row>
    <row r="82" spans="1:14" s="5" customFormat="1" ht="20.100000000000001" customHeight="1">
      <c r="A82" s="193" t="s">
        <v>199</v>
      </c>
      <c r="B82" s="7">
        <v>1110</v>
      </c>
      <c r="C82" s="56"/>
      <c r="D82" s="56"/>
      <c r="E82" s="56"/>
      <c r="F82" s="56"/>
      <c r="G82" s="56">
        <f t="shared" si="2"/>
        <v>0</v>
      </c>
      <c r="H82" s="70" t="e">
        <f t="shared" si="3"/>
        <v>#DIV/0!</v>
      </c>
      <c r="I82" s="281"/>
      <c r="J82" s="281"/>
      <c r="K82" s="281"/>
      <c r="L82" s="281"/>
      <c r="M82" s="281"/>
      <c r="N82" s="281"/>
    </row>
    <row r="83" spans="1:14" s="5" customFormat="1" ht="20.100000000000001" customHeight="1">
      <c r="A83" s="193" t="s">
        <v>200</v>
      </c>
      <c r="B83" s="7">
        <v>1120</v>
      </c>
      <c r="C83" s="56" t="s">
        <v>152</v>
      </c>
      <c r="D83" s="56" t="s">
        <v>152</v>
      </c>
      <c r="E83" s="56" t="s">
        <v>152</v>
      </c>
      <c r="F83" s="56" t="s">
        <v>152</v>
      </c>
      <c r="G83" s="56" t="e">
        <f t="shared" si="2"/>
        <v>#VALUE!</v>
      </c>
      <c r="H83" s="70" t="e">
        <f t="shared" si="3"/>
        <v>#VALUE!</v>
      </c>
      <c r="I83" s="281"/>
      <c r="J83" s="281"/>
      <c r="K83" s="281"/>
      <c r="L83" s="281"/>
      <c r="M83" s="281"/>
      <c r="N83" s="281"/>
    </row>
    <row r="84" spans="1:14" s="5" customFormat="1" ht="20.100000000000001" customHeight="1">
      <c r="A84" s="193" t="s">
        <v>201</v>
      </c>
      <c r="B84" s="7">
        <v>1130</v>
      </c>
      <c r="C84" s="56"/>
      <c r="D84" s="56"/>
      <c r="E84" s="56"/>
      <c r="F84" s="56"/>
      <c r="G84" s="56">
        <f t="shared" si="2"/>
        <v>0</v>
      </c>
      <c r="H84" s="70" t="e">
        <f t="shared" si="3"/>
        <v>#DIV/0!</v>
      </c>
      <c r="I84" s="281"/>
      <c r="J84" s="281"/>
      <c r="K84" s="281"/>
      <c r="L84" s="281"/>
      <c r="M84" s="281"/>
      <c r="N84" s="281"/>
    </row>
    <row r="85" spans="1:14" s="5" customFormat="1" ht="20.100000000000001" customHeight="1">
      <c r="A85" s="193" t="s">
        <v>202</v>
      </c>
      <c r="B85" s="7">
        <v>1140</v>
      </c>
      <c r="C85" s="56" t="s">
        <v>152</v>
      </c>
      <c r="D85" s="56" t="s">
        <v>152</v>
      </c>
      <c r="E85" s="56" t="s">
        <v>152</v>
      </c>
      <c r="F85" s="56" t="s">
        <v>152</v>
      </c>
      <c r="G85" s="56" t="e">
        <f t="shared" si="2"/>
        <v>#VALUE!</v>
      </c>
      <c r="H85" s="70" t="e">
        <f t="shared" si="3"/>
        <v>#VALUE!</v>
      </c>
      <c r="I85" s="281"/>
      <c r="J85" s="281"/>
      <c r="K85" s="281"/>
      <c r="L85" s="281"/>
      <c r="M85" s="281"/>
      <c r="N85" s="281"/>
    </row>
    <row r="86" spans="1:14" s="5" customFormat="1" ht="20.100000000000001" customHeight="1">
      <c r="A86" s="193" t="s">
        <v>203</v>
      </c>
      <c r="B86" s="7">
        <v>1150</v>
      </c>
      <c r="C86" s="204">
        <f>SUM(C87:C88)</f>
        <v>156.6</v>
      </c>
      <c r="D86" s="204">
        <f>SUM(D87:D88)</f>
        <v>182.2</v>
      </c>
      <c r="E86" s="204">
        <f>SUM(E87:E88)</f>
        <v>60</v>
      </c>
      <c r="F86" s="204">
        <f>SUM(F87:F88)</f>
        <v>99.2</v>
      </c>
      <c r="G86" s="56">
        <f t="shared" si="2"/>
        <v>39.200000000000003</v>
      </c>
      <c r="H86" s="70">
        <f t="shared" si="3"/>
        <v>165.33333333333334</v>
      </c>
      <c r="I86" s="281"/>
      <c r="J86" s="281"/>
      <c r="K86" s="281"/>
      <c r="L86" s="281"/>
      <c r="M86" s="281"/>
      <c r="N86" s="281"/>
    </row>
    <row r="87" spans="1:14" ht="20.100000000000001" customHeight="1">
      <c r="A87" s="209" t="s">
        <v>191</v>
      </c>
      <c r="B87" s="6">
        <v>1151</v>
      </c>
      <c r="C87" s="51"/>
      <c r="D87" s="51"/>
      <c r="E87" s="51"/>
      <c r="F87" s="51"/>
      <c r="G87" s="51">
        <f t="shared" si="2"/>
        <v>0</v>
      </c>
      <c r="H87" s="68" t="e">
        <f t="shared" si="3"/>
        <v>#DIV/0!</v>
      </c>
      <c r="I87" s="280"/>
      <c r="J87" s="280"/>
      <c r="K87" s="280"/>
      <c r="L87" s="280"/>
      <c r="M87" s="280"/>
      <c r="N87" s="280"/>
    </row>
    <row r="88" spans="1:14" ht="20.100000000000001" customHeight="1">
      <c r="A88" s="209" t="s">
        <v>422</v>
      </c>
      <c r="B88" s="6">
        <v>1152</v>
      </c>
      <c r="C88" s="51">
        <v>156.6</v>
      </c>
      <c r="D88" s="51">
        <f>83+99.2</f>
        <v>182.2</v>
      </c>
      <c r="E88" s="51">
        <v>60</v>
      </c>
      <c r="F88" s="51">
        <v>99.2</v>
      </c>
      <c r="G88" s="51">
        <f t="shared" si="2"/>
        <v>39.200000000000003</v>
      </c>
      <c r="H88" s="68">
        <f t="shared" si="3"/>
        <v>165.33333333333334</v>
      </c>
      <c r="I88" s="280" t="s">
        <v>440</v>
      </c>
      <c r="J88" s="280"/>
      <c r="K88" s="280"/>
      <c r="L88" s="280"/>
      <c r="M88" s="280"/>
      <c r="N88" s="280"/>
    </row>
    <row r="89" spans="1:14" s="5" customFormat="1" ht="20.100000000000001" customHeight="1">
      <c r="A89" s="193" t="s">
        <v>204</v>
      </c>
      <c r="B89" s="7">
        <v>1160</v>
      </c>
      <c r="C89" s="204">
        <f>SUM(C90:C91)</f>
        <v>0</v>
      </c>
      <c r="D89" s="204">
        <f>SUM(D90:D91)</f>
        <v>0</v>
      </c>
      <c r="E89" s="204">
        <f>SUM(E90:E91)</f>
        <v>0</v>
      </c>
      <c r="F89" s="204">
        <f>SUM(F90:F91)</f>
        <v>0</v>
      </c>
      <c r="G89" s="56">
        <f t="shared" si="2"/>
        <v>0</v>
      </c>
      <c r="H89" s="70" t="e">
        <f t="shared" si="3"/>
        <v>#DIV/0!</v>
      </c>
      <c r="I89" s="281"/>
      <c r="J89" s="281"/>
      <c r="K89" s="281"/>
      <c r="L89" s="281"/>
      <c r="M89" s="281"/>
      <c r="N89" s="281"/>
    </row>
    <row r="90" spans="1:14" ht="20.100000000000001" customHeight="1">
      <c r="A90" s="209" t="s">
        <v>191</v>
      </c>
      <c r="B90" s="6">
        <v>1161</v>
      </c>
      <c r="C90" s="51" t="s">
        <v>152</v>
      </c>
      <c r="D90" s="51" t="s">
        <v>152</v>
      </c>
      <c r="E90" s="51" t="s">
        <v>152</v>
      </c>
      <c r="F90" s="51" t="s">
        <v>152</v>
      </c>
      <c r="G90" s="56" t="e">
        <f t="shared" si="2"/>
        <v>#VALUE!</v>
      </c>
      <c r="H90" s="70" t="e">
        <f t="shared" si="3"/>
        <v>#VALUE!</v>
      </c>
      <c r="I90" s="280"/>
      <c r="J90" s="280"/>
      <c r="K90" s="280"/>
      <c r="L90" s="280"/>
      <c r="M90" s="280"/>
      <c r="N90" s="280"/>
    </row>
    <row r="91" spans="1:14" ht="20.100000000000001" customHeight="1">
      <c r="A91" s="209" t="s">
        <v>205</v>
      </c>
      <c r="B91" s="6">
        <v>1162</v>
      </c>
      <c r="C91" s="51" t="s">
        <v>152</v>
      </c>
      <c r="D91" s="51" t="s">
        <v>152</v>
      </c>
      <c r="E91" s="51" t="s">
        <v>152</v>
      </c>
      <c r="F91" s="51" t="s">
        <v>152</v>
      </c>
      <c r="G91" s="56" t="e">
        <f t="shared" si="2"/>
        <v>#VALUE!</v>
      </c>
      <c r="H91" s="70" t="e">
        <f t="shared" si="3"/>
        <v>#VALUE!</v>
      </c>
      <c r="I91" s="280"/>
      <c r="J91" s="280"/>
      <c r="K91" s="280"/>
      <c r="L91" s="280"/>
      <c r="M91" s="280"/>
      <c r="N91" s="280"/>
    </row>
    <row r="92" spans="1:14" s="5" customFormat="1" ht="20.100000000000001" customHeight="1">
      <c r="A92" s="193" t="s">
        <v>206</v>
      </c>
      <c r="B92" s="7">
        <v>1170</v>
      </c>
      <c r="C92" s="204">
        <f>SUM(C81:C86,C89)</f>
        <v>555.49999999999943</v>
      </c>
      <c r="D92" s="204">
        <f>SUM(D81:D86,D89)</f>
        <v>1625.1999999999991</v>
      </c>
      <c r="E92" s="204">
        <f>SUM(E81:E86,E89)</f>
        <v>50</v>
      </c>
      <c r="F92" s="204">
        <f>SUM(F81:F86,F89)</f>
        <v>1246.1999999999998</v>
      </c>
      <c r="G92" s="56">
        <f t="shared" si="2"/>
        <v>1196.1999999999998</v>
      </c>
      <c r="H92" s="70">
        <f t="shared" si="3"/>
        <v>2492.3999999999996</v>
      </c>
      <c r="I92" s="281"/>
      <c r="J92" s="281"/>
      <c r="K92" s="281"/>
      <c r="L92" s="281"/>
      <c r="M92" s="281"/>
      <c r="N92" s="281"/>
    </row>
    <row r="93" spans="1:14" ht="20.100000000000001" customHeight="1">
      <c r="A93" s="209" t="s">
        <v>207</v>
      </c>
      <c r="B93" s="186">
        <v>1180</v>
      </c>
      <c r="C93" s="51" t="s">
        <v>152</v>
      </c>
      <c r="D93" s="51" t="s">
        <v>152</v>
      </c>
      <c r="E93" s="51" t="s">
        <v>152</v>
      </c>
      <c r="F93" s="51" t="s">
        <v>152</v>
      </c>
      <c r="G93" s="51" t="e">
        <f t="shared" ref="G93:G102" si="4">F93-E93</f>
        <v>#VALUE!</v>
      </c>
      <c r="H93" s="68" t="e">
        <f t="shared" ref="H93:H102" si="5">(F93/E93)*100</f>
        <v>#VALUE!</v>
      </c>
      <c r="I93" s="280"/>
      <c r="J93" s="280"/>
      <c r="K93" s="280"/>
      <c r="L93" s="280"/>
      <c r="M93" s="280"/>
      <c r="N93" s="280"/>
    </row>
    <row r="94" spans="1:14" ht="20.100000000000001" customHeight="1">
      <c r="A94" s="209" t="s">
        <v>208</v>
      </c>
      <c r="B94" s="186">
        <v>1181</v>
      </c>
      <c r="C94" s="51"/>
      <c r="D94" s="51"/>
      <c r="E94" s="51"/>
      <c r="F94" s="51"/>
      <c r="G94" s="51">
        <f t="shared" si="4"/>
        <v>0</v>
      </c>
      <c r="H94" s="68" t="e">
        <f t="shared" si="5"/>
        <v>#DIV/0!</v>
      </c>
      <c r="I94" s="280"/>
      <c r="J94" s="280"/>
      <c r="K94" s="280"/>
      <c r="L94" s="280"/>
      <c r="M94" s="280"/>
      <c r="N94" s="280"/>
    </row>
    <row r="95" spans="1:14" ht="20.100000000000001" customHeight="1">
      <c r="A95" s="209" t="s">
        <v>209</v>
      </c>
      <c r="B95" s="6">
        <v>1190</v>
      </c>
      <c r="C95" s="51"/>
      <c r="D95" s="51"/>
      <c r="E95" s="51"/>
      <c r="F95" s="51"/>
      <c r="G95" s="51">
        <f t="shared" si="4"/>
        <v>0</v>
      </c>
      <c r="H95" s="68" t="e">
        <f t="shared" si="5"/>
        <v>#DIV/0!</v>
      </c>
      <c r="I95" s="280"/>
      <c r="J95" s="280"/>
      <c r="K95" s="280"/>
      <c r="L95" s="280"/>
      <c r="M95" s="280"/>
      <c r="N95" s="280"/>
    </row>
    <row r="96" spans="1:14" ht="20.100000000000001" customHeight="1">
      <c r="A96" s="209" t="s">
        <v>210</v>
      </c>
      <c r="B96" s="192">
        <v>1191</v>
      </c>
      <c r="C96" s="51" t="s">
        <v>152</v>
      </c>
      <c r="D96" s="51" t="s">
        <v>152</v>
      </c>
      <c r="E96" s="51" t="s">
        <v>152</v>
      </c>
      <c r="F96" s="51" t="s">
        <v>152</v>
      </c>
      <c r="G96" s="51" t="e">
        <f t="shared" si="4"/>
        <v>#VALUE!</v>
      </c>
      <c r="H96" s="68" t="e">
        <f t="shared" si="5"/>
        <v>#VALUE!</v>
      </c>
      <c r="I96" s="280"/>
      <c r="J96" s="280"/>
      <c r="K96" s="280"/>
      <c r="L96" s="280"/>
      <c r="M96" s="280"/>
      <c r="N96" s="280"/>
    </row>
    <row r="97" spans="1:18" s="5" customFormat="1" ht="20.100000000000001" customHeight="1">
      <c r="A97" s="193" t="s">
        <v>211</v>
      </c>
      <c r="B97" s="7">
        <v>1200</v>
      </c>
      <c r="C97" s="204">
        <f>SUM(C92:C96)</f>
        <v>555.49999999999943</v>
      </c>
      <c r="D97" s="204">
        <f>SUM(D92:D96)</f>
        <v>1625.1999999999991</v>
      </c>
      <c r="E97" s="204">
        <f>SUM(E92:E96)</f>
        <v>50</v>
      </c>
      <c r="F97" s="204">
        <f>SUM(F92:F96)</f>
        <v>1246.1999999999998</v>
      </c>
      <c r="G97" s="56">
        <f t="shared" si="4"/>
        <v>1196.1999999999998</v>
      </c>
      <c r="H97" s="70">
        <f t="shared" si="5"/>
        <v>2492.3999999999996</v>
      </c>
      <c r="I97" s="281"/>
      <c r="J97" s="281"/>
      <c r="K97" s="281"/>
      <c r="L97" s="281"/>
      <c r="M97" s="281"/>
      <c r="N97" s="281"/>
    </row>
    <row r="98" spans="1:18" ht="20.100000000000001" customHeight="1">
      <c r="A98" s="209" t="s">
        <v>212</v>
      </c>
      <c r="B98" s="192">
        <v>1201</v>
      </c>
      <c r="C98" s="51">
        <v>555.6</v>
      </c>
      <c r="D98" s="51">
        <v>1625</v>
      </c>
      <c r="E98" s="51">
        <v>50</v>
      </c>
      <c r="F98" s="51">
        <v>1246</v>
      </c>
      <c r="G98" s="56">
        <f t="shared" si="4"/>
        <v>1196</v>
      </c>
      <c r="H98" s="70">
        <f t="shared" si="5"/>
        <v>2492</v>
      </c>
      <c r="I98" s="283"/>
      <c r="J98" s="283"/>
      <c r="K98" s="283"/>
      <c r="L98" s="283"/>
      <c r="M98" s="283"/>
      <c r="N98" s="283"/>
    </row>
    <row r="99" spans="1:18" ht="20.100000000000001" customHeight="1">
      <c r="A99" s="209" t="s">
        <v>213</v>
      </c>
      <c r="B99" s="192">
        <v>1202</v>
      </c>
      <c r="C99" s="51" t="s">
        <v>152</v>
      </c>
      <c r="D99" s="51" t="s">
        <v>152</v>
      </c>
      <c r="E99" s="51" t="s">
        <v>152</v>
      </c>
      <c r="F99" s="51" t="s">
        <v>152</v>
      </c>
      <c r="G99" s="56" t="e">
        <f t="shared" si="4"/>
        <v>#VALUE!</v>
      </c>
      <c r="H99" s="70" t="e">
        <f t="shared" si="5"/>
        <v>#VALUE!</v>
      </c>
      <c r="I99" s="283"/>
      <c r="J99" s="283"/>
      <c r="K99" s="283"/>
      <c r="L99" s="283"/>
      <c r="M99" s="283"/>
      <c r="N99" s="283"/>
    </row>
    <row r="100" spans="1:18" s="5" customFormat="1" ht="20.100000000000001" customHeight="1">
      <c r="A100" s="193" t="s">
        <v>214</v>
      </c>
      <c r="B100" s="7">
        <v>1210</v>
      </c>
      <c r="C100" s="204">
        <f>SUM(C27,C70,C82,C84,C86,C94,C95)</f>
        <v>11418.1</v>
      </c>
      <c r="D100" s="204">
        <f>SUM(D27,D70,D82,D84,D86,D94,D95)</f>
        <v>13232.1</v>
      </c>
      <c r="E100" s="204">
        <f>SUM(E27,E70,E82,E84,E86,E94,E95)</f>
        <v>7194</v>
      </c>
      <c r="F100" s="204">
        <f>SUM(F27,F70,F82,F84,F86,F94,F95)</f>
        <v>7258.2</v>
      </c>
      <c r="G100" s="56">
        <f t="shared" si="4"/>
        <v>64.199999999999818</v>
      </c>
      <c r="H100" s="70">
        <f t="shared" si="5"/>
        <v>100.89241034195162</v>
      </c>
      <c r="I100" s="281"/>
      <c r="J100" s="281"/>
      <c r="K100" s="281"/>
      <c r="L100" s="281"/>
      <c r="M100" s="281"/>
      <c r="N100" s="281"/>
    </row>
    <row r="101" spans="1:18" s="5" customFormat="1" ht="20.100000000000001" customHeight="1">
      <c r="A101" s="193" t="s">
        <v>215</v>
      </c>
      <c r="B101" s="7">
        <v>1220</v>
      </c>
      <c r="C101" s="204">
        <f>SUM(C28,C39,C62,C74,C83,C85,C89,C93,C96)</f>
        <v>-10862.600000000002</v>
      </c>
      <c r="D101" s="204">
        <f>SUM(D28,D39,D62,D74,D83,D85,D89,D93,D96)</f>
        <v>-11606.9</v>
      </c>
      <c r="E101" s="204">
        <f>SUM(E28,E39,E62,E74,E83,E85,E89,E93,E96)</f>
        <v>-7144</v>
      </c>
      <c r="F101" s="204">
        <f>SUM(F28,F39,F62,F74,F83,F85,F89,F93,F96)</f>
        <v>-6012.0000000000009</v>
      </c>
      <c r="G101" s="56">
        <f t="shared" si="4"/>
        <v>1131.9999999999991</v>
      </c>
      <c r="H101" s="70">
        <f t="shared" si="5"/>
        <v>84.154535274356107</v>
      </c>
      <c r="I101" s="281"/>
      <c r="J101" s="281"/>
      <c r="K101" s="281"/>
      <c r="L101" s="281"/>
      <c r="M101" s="281"/>
      <c r="N101" s="281"/>
    </row>
    <row r="102" spans="1:18" ht="20.100000000000001" customHeight="1">
      <c r="A102" s="209" t="s">
        <v>216</v>
      </c>
      <c r="B102" s="6">
        <v>1230</v>
      </c>
      <c r="C102" s="51"/>
      <c r="D102" s="51"/>
      <c r="E102" s="51"/>
      <c r="F102" s="51"/>
      <c r="G102" s="51">
        <f t="shared" si="4"/>
        <v>0</v>
      </c>
      <c r="H102" s="68" t="e">
        <f t="shared" si="5"/>
        <v>#DIV/0!</v>
      </c>
      <c r="I102" s="280"/>
      <c r="J102" s="280"/>
      <c r="K102" s="280"/>
      <c r="L102" s="280"/>
      <c r="M102" s="280"/>
      <c r="N102" s="280"/>
    </row>
    <row r="103" spans="1:18" s="5" customFormat="1" ht="20.100000000000001" customHeight="1">
      <c r="A103" s="154" t="s">
        <v>38</v>
      </c>
      <c r="B103" s="7">
        <v>1300</v>
      </c>
      <c r="C103" s="204">
        <f>C81+C110</f>
        <v>687.89999999999941</v>
      </c>
      <c r="D103" s="227">
        <f t="shared" ref="D103:F103" si="6">D81+D110</f>
        <v>1783.9999999999991</v>
      </c>
      <c r="E103" s="227">
        <f t="shared" si="6"/>
        <v>105</v>
      </c>
      <c r="F103" s="227">
        <f t="shared" si="6"/>
        <v>1349.7999999999997</v>
      </c>
      <c r="G103" s="51">
        <f>F103-E103</f>
        <v>1244.7999999999997</v>
      </c>
      <c r="H103" s="68">
        <f t="shared" ref="H103:H112" si="7">(F103/E103)*100</f>
        <v>1285.5238095238092</v>
      </c>
      <c r="I103" s="281"/>
      <c r="J103" s="281"/>
      <c r="K103" s="281"/>
      <c r="L103" s="281"/>
      <c r="M103" s="281"/>
      <c r="N103" s="281"/>
    </row>
    <row r="104" spans="1:18" s="5" customFormat="1" ht="19.5" customHeight="1">
      <c r="A104" s="193" t="s">
        <v>217</v>
      </c>
      <c r="B104" s="193"/>
      <c r="C104" s="193"/>
      <c r="D104" s="193"/>
      <c r="E104" s="193"/>
      <c r="F104" s="193"/>
      <c r="G104" s="51">
        <f t="shared" ref="G104:G112" si="8">F104-E104</f>
        <v>0</v>
      </c>
      <c r="H104" s="68" t="e">
        <f t="shared" si="7"/>
        <v>#DIV/0!</v>
      </c>
      <c r="I104" s="282"/>
      <c r="J104" s="282"/>
      <c r="K104" s="282"/>
      <c r="L104" s="282"/>
      <c r="M104" s="282"/>
      <c r="N104" s="282"/>
    </row>
    <row r="105" spans="1:18" s="5" customFormat="1" ht="20.100000000000001" customHeight="1">
      <c r="A105" s="209" t="s">
        <v>218</v>
      </c>
      <c r="B105" s="6">
        <v>1400</v>
      </c>
      <c r="C105" s="51">
        <v>1854.9</v>
      </c>
      <c r="D105" s="51">
        <f>991+748</f>
        <v>1739</v>
      </c>
      <c r="E105" s="51">
        <v>869</v>
      </c>
      <c r="F105" s="51">
        <v>748.4</v>
      </c>
      <c r="G105" s="51">
        <f t="shared" si="8"/>
        <v>-120.60000000000002</v>
      </c>
      <c r="H105" s="68">
        <f t="shared" si="7"/>
        <v>86.121979286536245</v>
      </c>
      <c r="I105" s="280"/>
      <c r="J105" s="280"/>
      <c r="K105" s="280"/>
      <c r="L105" s="280"/>
      <c r="M105" s="280"/>
      <c r="N105" s="280"/>
    </row>
    <row r="106" spans="1:18" s="5" customFormat="1" ht="20.100000000000001" customHeight="1">
      <c r="A106" s="209" t="s">
        <v>219</v>
      </c>
      <c r="B106" s="195">
        <v>1401</v>
      </c>
      <c r="C106" s="51">
        <v>1455.4</v>
      </c>
      <c r="D106" s="51">
        <f>472+526</f>
        <v>998</v>
      </c>
      <c r="E106" s="51">
        <v>621</v>
      </c>
      <c r="F106" s="51">
        <v>526</v>
      </c>
      <c r="G106" s="51">
        <f t="shared" si="8"/>
        <v>-95</v>
      </c>
      <c r="H106" s="68">
        <f t="shared" si="7"/>
        <v>84.702093397745571</v>
      </c>
      <c r="I106" s="283"/>
      <c r="J106" s="283"/>
      <c r="K106" s="283"/>
      <c r="L106" s="283"/>
      <c r="M106" s="283"/>
      <c r="N106" s="283"/>
    </row>
    <row r="107" spans="1:18" s="5" customFormat="1" ht="20.100000000000001" customHeight="1">
      <c r="A107" s="209" t="s">
        <v>220</v>
      </c>
      <c r="B107" s="195">
        <v>1402</v>
      </c>
      <c r="C107" s="51">
        <v>399.5</v>
      </c>
      <c r="D107" s="51">
        <f>272+222</f>
        <v>494</v>
      </c>
      <c r="E107" s="51">
        <v>248</v>
      </c>
      <c r="F107" s="51">
        <v>222</v>
      </c>
      <c r="G107" s="51">
        <f t="shared" si="8"/>
        <v>-26</v>
      </c>
      <c r="H107" s="68">
        <f t="shared" si="7"/>
        <v>89.516129032258064</v>
      </c>
      <c r="I107" s="283"/>
      <c r="J107" s="283"/>
      <c r="K107" s="283"/>
      <c r="L107" s="283"/>
      <c r="M107" s="283"/>
      <c r="N107" s="283"/>
      <c r="R107" s="242"/>
    </row>
    <row r="108" spans="1:18" s="5" customFormat="1" ht="20.100000000000001" customHeight="1">
      <c r="A108" s="209" t="s">
        <v>97</v>
      </c>
      <c r="B108" s="9">
        <v>1410</v>
      </c>
      <c r="C108" s="245">
        <v>7123.8</v>
      </c>
      <c r="D108" s="245">
        <f>3665+4154</f>
        <v>7819</v>
      </c>
      <c r="E108" s="245">
        <v>5000</v>
      </c>
      <c r="F108" s="245">
        <v>4154</v>
      </c>
      <c r="G108" s="51">
        <f t="shared" si="8"/>
        <v>-846</v>
      </c>
      <c r="H108" s="68">
        <f t="shared" si="7"/>
        <v>83.08</v>
      </c>
      <c r="I108" s="280"/>
      <c r="J108" s="280"/>
      <c r="K108" s="280"/>
      <c r="L108" s="280"/>
      <c r="M108" s="280"/>
      <c r="N108" s="280"/>
      <c r="P108" s="242"/>
    </row>
    <row r="109" spans="1:18" s="5" customFormat="1" ht="20.100000000000001" customHeight="1">
      <c r="A109" s="209" t="s">
        <v>155</v>
      </c>
      <c r="B109" s="9">
        <v>1420</v>
      </c>
      <c r="C109" s="245">
        <v>1453.1</v>
      </c>
      <c r="D109" s="245">
        <f>748+840</f>
        <v>1588</v>
      </c>
      <c r="E109" s="245">
        <v>1100</v>
      </c>
      <c r="F109" s="245">
        <v>839.8</v>
      </c>
      <c r="G109" s="51">
        <f t="shared" si="8"/>
        <v>-260.20000000000005</v>
      </c>
      <c r="H109" s="68">
        <f t="shared" si="7"/>
        <v>76.345454545454544</v>
      </c>
      <c r="I109" s="280"/>
      <c r="J109" s="280"/>
      <c r="K109" s="280"/>
      <c r="L109" s="280"/>
      <c r="M109" s="280"/>
      <c r="N109" s="280"/>
      <c r="P109" s="242"/>
    </row>
    <row r="110" spans="1:18" s="5" customFormat="1" ht="20.100000000000001" customHeight="1">
      <c r="A110" s="209" t="s">
        <v>221</v>
      </c>
      <c r="B110" s="9">
        <v>1430</v>
      </c>
      <c r="C110" s="51">
        <v>289</v>
      </c>
      <c r="D110" s="51">
        <f>138+203</f>
        <v>341</v>
      </c>
      <c r="E110" s="51">
        <v>115</v>
      </c>
      <c r="F110" s="51">
        <v>202.8</v>
      </c>
      <c r="G110" s="51">
        <f t="shared" si="8"/>
        <v>87.800000000000011</v>
      </c>
      <c r="H110" s="68">
        <f t="shared" si="7"/>
        <v>176.34782608695653</v>
      </c>
      <c r="I110" s="280"/>
      <c r="J110" s="280"/>
      <c r="K110" s="280"/>
      <c r="L110" s="280"/>
      <c r="M110" s="280"/>
      <c r="N110" s="280"/>
    </row>
    <row r="111" spans="1:18" s="5" customFormat="1" ht="20.100000000000001" customHeight="1">
      <c r="A111" s="209" t="s">
        <v>222</v>
      </c>
      <c r="B111" s="9">
        <v>1440</v>
      </c>
      <c r="C111" s="51">
        <v>141.69999999999999</v>
      </c>
      <c r="D111" s="51">
        <f>53+67</f>
        <v>120</v>
      </c>
      <c r="E111" s="51">
        <v>60</v>
      </c>
      <c r="F111" s="51">
        <v>67.3</v>
      </c>
      <c r="G111" s="51">
        <f t="shared" si="8"/>
        <v>7.2999999999999972</v>
      </c>
      <c r="H111" s="68">
        <f t="shared" si="7"/>
        <v>112.16666666666666</v>
      </c>
      <c r="I111" s="280"/>
      <c r="J111" s="280"/>
      <c r="K111" s="280"/>
      <c r="L111" s="280"/>
      <c r="M111" s="280"/>
      <c r="N111" s="280"/>
    </row>
    <row r="112" spans="1:18" s="5" customFormat="1">
      <c r="A112" s="193" t="s">
        <v>141</v>
      </c>
      <c r="B112" s="31">
        <v>1450</v>
      </c>
      <c r="C112" s="204">
        <f>SUM(C105,C108:C111)</f>
        <v>10862.500000000002</v>
      </c>
      <c r="D112" s="204">
        <f>SUM(D105,D108:D111)</f>
        <v>11607</v>
      </c>
      <c r="E112" s="204">
        <f>SUM(E105,E108:E111)</f>
        <v>7144</v>
      </c>
      <c r="F112" s="204">
        <f>SUM(F105,F108:F111)</f>
        <v>6012.3</v>
      </c>
      <c r="G112" s="51">
        <f t="shared" si="8"/>
        <v>-1131.6999999999998</v>
      </c>
      <c r="H112" s="68">
        <f t="shared" si="7"/>
        <v>84.158734602463596</v>
      </c>
      <c r="I112" s="281"/>
      <c r="J112" s="281"/>
      <c r="K112" s="281"/>
      <c r="L112" s="281"/>
      <c r="M112" s="281"/>
      <c r="N112" s="281"/>
    </row>
    <row r="113" spans="1:14" s="5" customFormat="1">
      <c r="A113" s="197"/>
      <c r="B113" s="38"/>
      <c r="C113" s="38"/>
      <c r="D113" s="38"/>
      <c r="E113" s="38"/>
      <c r="F113" s="38"/>
      <c r="G113" s="38"/>
      <c r="H113" s="38"/>
      <c r="I113" s="38"/>
    </row>
    <row r="114" spans="1:14" s="5" customFormat="1">
      <c r="A114" s="197"/>
      <c r="B114" s="38"/>
      <c r="C114" s="38"/>
      <c r="D114" s="38"/>
      <c r="E114" s="38"/>
      <c r="F114" s="38"/>
      <c r="G114" s="38"/>
      <c r="H114" s="38"/>
      <c r="I114" s="38"/>
    </row>
    <row r="115" spans="1:14">
      <c r="A115" s="188"/>
      <c r="B115" s="189"/>
      <c r="C115" s="189"/>
      <c r="D115" s="189"/>
      <c r="E115" s="189"/>
      <c r="F115" s="189"/>
      <c r="G115" s="189"/>
      <c r="H115" s="189"/>
      <c r="I115" s="189"/>
      <c r="J115" s="210"/>
      <c r="K115" s="210"/>
      <c r="L115" s="210"/>
      <c r="M115" s="210"/>
      <c r="N115" s="210"/>
    </row>
    <row r="116" spans="1:14" ht="27.75" customHeight="1">
      <c r="A116" s="243" t="s">
        <v>437</v>
      </c>
      <c r="B116" s="1"/>
      <c r="C116" s="292" t="s">
        <v>223</v>
      </c>
      <c r="D116" s="292"/>
      <c r="E116" s="44"/>
      <c r="F116" s="189"/>
      <c r="G116" s="189"/>
      <c r="H116" s="189"/>
      <c r="I116" s="210"/>
      <c r="J116" s="210"/>
      <c r="K116" s="210"/>
      <c r="L116" s="210"/>
      <c r="M116" s="210"/>
      <c r="N116" s="210"/>
    </row>
    <row r="117" spans="1:14" s="2" customFormat="1">
      <c r="A117" s="196"/>
      <c r="B117" s="210"/>
      <c r="C117" s="291" t="s">
        <v>224</v>
      </c>
      <c r="D117" s="291"/>
      <c r="E117" s="210"/>
      <c r="F117" s="293" t="s">
        <v>431</v>
      </c>
      <c r="G117" s="293"/>
      <c r="H117" s="293"/>
    </row>
    <row r="118" spans="1:14">
      <c r="A118" s="188"/>
      <c r="B118" s="189"/>
      <c r="C118" s="189"/>
      <c r="D118" s="189"/>
      <c r="E118" s="189"/>
      <c r="F118" s="189"/>
      <c r="G118" s="189"/>
      <c r="H118" s="189"/>
      <c r="I118" s="189"/>
      <c r="J118" s="210"/>
      <c r="K118" s="210"/>
      <c r="L118" s="210"/>
      <c r="M118" s="210"/>
      <c r="N118" s="210"/>
    </row>
    <row r="119" spans="1:14">
      <c r="A119" s="188"/>
      <c r="B119" s="189"/>
      <c r="C119" s="189"/>
      <c r="D119" s="189"/>
      <c r="E119" s="189"/>
      <c r="F119" s="189"/>
      <c r="G119" s="189"/>
      <c r="H119" s="189"/>
      <c r="I119" s="189"/>
      <c r="J119" s="210"/>
      <c r="K119" s="210"/>
      <c r="L119" s="210"/>
      <c r="M119" s="210"/>
      <c r="N119" s="210"/>
    </row>
    <row r="120" spans="1:14">
      <c r="A120" s="188"/>
      <c r="B120" s="189"/>
      <c r="C120" s="189"/>
      <c r="D120" s="189"/>
      <c r="E120" s="189"/>
      <c r="F120" s="189"/>
      <c r="G120" s="189"/>
      <c r="H120" s="189"/>
      <c r="I120" s="189"/>
      <c r="J120" s="210"/>
      <c r="K120" s="210"/>
      <c r="L120" s="210"/>
      <c r="M120" s="210"/>
      <c r="N120" s="210"/>
    </row>
    <row r="121" spans="1:14">
      <c r="A121" s="188"/>
      <c r="B121" s="189"/>
      <c r="C121" s="189"/>
      <c r="D121" s="189"/>
      <c r="E121" s="189"/>
      <c r="F121" s="189"/>
      <c r="G121" s="189"/>
      <c r="H121" s="189"/>
      <c r="I121" s="189"/>
      <c r="J121" s="210"/>
      <c r="K121" s="210"/>
      <c r="L121" s="210"/>
      <c r="M121" s="210"/>
      <c r="N121" s="210"/>
    </row>
    <row r="122" spans="1:14">
      <c r="A122" s="188"/>
      <c r="B122" s="189"/>
      <c r="C122" s="189"/>
      <c r="D122" s="189"/>
      <c r="E122" s="189"/>
      <c r="F122" s="189"/>
      <c r="G122" s="189"/>
      <c r="H122" s="189"/>
      <c r="I122" s="189"/>
    </row>
    <row r="123" spans="1:14">
      <c r="A123" s="188"/>
      <c r="B123" s="189"/>
      <c r="C123" s="189"/>
      <c r="D123" s="189"/>
      <c r="E123" s="189"/>
      <c r="F123" s="189"/>
      <c r="G123" s="189"/>
      <c r="H123" s="189"/>
      <c r="I123" s="189"/>
    </row>
    <row r="124" spans="1:14">
      <c r="A124" s="188"/>
      <c r="B124" s="189"/>
      <c r="C124" s="189"/>
      <c r="D124" s="189"/>
      <c r="E124" s="189"/>
      <c r="F124" s="189"/>
      <c r="G124" s="189"/>
      <c r="H124" s="189"/>
      <c r="I124" s="189"/>
    </row>
    <row r="125" spans="1:14">
      <c r="A125" s="188"/>
      <c r="B125" s="189"/>
      <c r="C125" s="189"/>
      <c r="D125" s="189"/>
      <c r="E125" s="189"/>
      <c r="F125" s="189"/>
      <c r="G125" s="189"/>
      <c r="H125" s="189"/>
      <c r="I125" s="189"/>
    </row>
    <row r="126" spans="1:14">
      <c r="A126" s="188"/>
      <c r="B126" s="189"/>
      <c r="C126" s="189"/>
      <c r="D126" s="189"/>
      <c r="E126" s="189"/>
      <c r="F126" s="189"/>
      <c r="G126" s="189"/>
      <c r="H126" s="189"/>
      <c r="I126" s="189"/>
    </row>
    <row r="127" spans="1:14">
      <c r="A127" s="188"/>
      <c r="B127" s="189"/>
      <c r="C127" s="189"/>
      <c r="D127" s="189"/>
      <c r="E127" s="189"/>
      <c r="F127" s="189"/>
      <c r="G127" s="189"/>
      <c r="H127" s="189"/>
      <c r="I127" s="189"/>
    </row>
    <row r="128" spans="1:14">
      <c r="A128" s="188"/>
      <c r="B128" s="189"/>
      <c r="C128" s="189"/>
      <c r="D128" s="189"/>
      <c r="E128" s="189"/>
      <c r="F128" s="189"/>
      <c r="G128" s="189"/>
      <c r="H128" s="189"/>
      <c r="I128" s="189"/>
    </row>
    <row r="129" spans="1:9">
      <c r="A129" s="188"/>
      <c r="B129" s="189"/>
      <c r="C129" s="189"/>
      <c r="D129" s="189"/>
      <c r="E129" s="189"/>
      <c r="F129" s="189"/>
      <c r="G129" s="189"/>
      <c r="H129" s="189"/>
      <c r="I129" s="189"/>
    </row>
    <row r="130" spans="1:9">
      <c r="A130" s="188"/>
      <c r="B130" s="210"/>
      <c r="C130" s="210"/>
      <c r="D130" s="210"/>
      <c r="E130" s="210"/>
      <c r="F130" s="210"/>
      <c r="G130" s="210"/>
      <c r="H130" s="210"/>
      <c r="I130" s="210"/>
    </row>
    <row r="131" spans="1:9">
      <c r="A131" s="188"/>
      <c r="B131" s="210"/>
      <c r="C131" s="210"/>
      <c r="D131" s="210"/>
      <c r="E131" s="210"/>
      <c r="F131" s="210"/>
      <c r="G131" s="210"/>
      <c r="H131" s="210"/>
      <c r="I131" s="210"/>
    </row>
    <row r="132" spans="1:9">
      <c r="A132" s="188"/>
      <c r="B132" s="210"/>
      <c r="C132" s="210"/>
      <c r="D132" s="210"/>
      <c r="E132" s="210"/>
      <c r="F132" s="210"/>
      <c r="G132" s="210"/>
      <c r="H132" s="210"/>
      <c r="I132" s="210"/>
    </row>
    <row r="133" spans="1:9">
      <c r="A133" s="188"/>
      <c r="B133" s="210"/>
      <c r="C133" s="210"/>
      <c r="D133" s="210"/>
      <c r="E133" s="210"/>
      <c r="F133" s="210"/>
      <c r="G133" s="210"/>
      <c r="H133" s="210"/>
      <c r="I133" s="210"/>
    </row>
    <row r="134" spans="1:9">
      <c r="A134" s="188"/>
      <c r="B134" s="210"/>
      <c r="C134" s="210"/>
      <c r="D134" s="210"/>
      <c r="E134" s="210"/>
      <c r="F134" s="210"/>
      <c r="G134" s="210"/>
      <c r="H134" s="210"/>
      <c r="I134" s="210"/>
    </row>
    <row r="135" spans="1:9">
      <c r="A135" s="188"/>
      <c r="B135" s="210"/>
      <c r="C135" s="210"/>
      <c r="D135" s="210"/>
      <c r="E135" s="210"/>
      <c r="F135" s="210"/>
      <c r="G135" s="210"/>
      <c r="H135" s="210"/>
      <c r="I135" s="210"/>
    </row>
    <row r="136" spans="1:9">
      <c r="A136" s="188"/>
      <c r="B136" s="210"/>
      <c r="C136" s="210"/>
      <c r="D136" s="210"/>
      <c r="E136" s="210"/>
      <c r="F136" s="210"/>
      <c r="G136" s="210"/>
      <c r="H136" s="210"/>
      <c r="I136" s="210"/>
    </row>
    <row r="137" spans="1:9">
      <c r="A137" s="188"/>
      <c r="B137" s="210"/>
      <c r="C137" s="210"/>
      <c r="D137" s="210"/>
      <c r="E137" s="210"/>
      <c r="F137" s="210"/>
      <c r="G137" s="210"/>
      <c r="H137" s="210"/>
      <c r="I137" s="210"/>
    </row>
    <row r="138" spans="1:9">
      <c r="A138" s="188"/>
      <c r="B138" s="210"/>
      <c r="C138" s="210"/>
      <c r="D138" s="210"/>
      <c r="E138" s="210"/>
      <c r="F138" s="210"/>
      <c r="G138" s="210"/>
      <c r="H138" s="210"/>
      <c r="I138" s="210"/>
    </row>
    <row r="139" spans="1:9">
      <c r="A139" s="188"/>
      <c r="B139" s="210"/>
      <c r="C139" s="210"/>
      <c r="D139" s="210"/>
      <c r="E139" s="210"/>
      <c r="F139" s="210"/>
      <c r="G139" s="210"/>
      <c r="H139" s="210"/>
      <c r="I139" s="210"/>
    </row>
    <row r="140" spans="1:9">
      <c r="A140" s="188"/>
      <c r="B140" s="210"/>
      <c r="C140" s="210"/>
      <c r="D140" s="210"/>
      <c r="E140" s="210"/>
      <c r="F140" s="210"/>
      <c r="G140" s="210"/>
      <c r="H140" s="210"/>
      <c r="I140" s="210"/>
    </row>
    <row r="141" spans="1:9">
      <c r="A141" s="188"/>
      <c r="B141" s="210"/>
      <c r="C141" s="210"/>
      <c r="D141" s="210"/>
      <c r="E141" s="210"/>
      <c r="F141" s="210"/>
      <c r="G141" s="210"/>
      <c r="H141" s="210"/>
      <c r="I141" s="210"/>
    </row>
    <row r="142" spans="1:9">
      <c r="A142" s="188"/>
      <c r="B142" s="210"/>
      <c r="C142" s="210"/>
      <c r="D142" s="210"/>
      <c r="E142" s="210"/>
      <c r="F142" s="210"/>
      <c r="G142" s="210"/>
      <c r="H142" s="210"/>
      <c r="I142" s="210"/>
    </row>
    <row r="143" spans="1:9">
      <c r="A143" s="188"/>
      <c r="B143" s="210"/>
      <c r="C143" s="210"/>
      <c r="D143" s="210"/>
      <c r="E143" s="210"/>
      <c r="F143" s="210"/>
      <c r="G143" s="210"/>
      <c r="H143" s="210"/>
      <c r="I143" s="210"/>
    </row>
    <row r="144" spans="1:9">
      <c r="A144" s="188"/>
      <c r="B144" s="210"/>
      <c r="C144" s="210"/>
      <c r="D144" s="210"/>
      <c r="E144" s="210"/>
      <c r="F144" s="210"/>
      <c r="G144" s="210"/>
      <c r="H144" s="210"/>
      <c r="I144" s="210"/>
    </row>
    <row r="145" spans="1:9">
      <c r="A145" s="188"/>
      <c r="B145" s="210"/>
      <c r="C145" s="210"/>
      <c r="D145" s="210"/>
      <c r="E145" s="210"/>
      <c r="F145" s="210"/>
      <c r="G145" s="210"/>
      <c r="H145" s="210"/>
      <c r="I145" s="210"/>
    </row>
    <row r="146" spans="1:9">
      <c r="A146" s="188"/>
      <c r="B146" s="210"/>
      <c r="C146" s="210"/>
      <c r="D146" s="210"/>
      <c r="E146" s="210"/>
      <c r="F146" s="210"/>
      <c r="G146" s="210"/>
      <c r="H146" s="210"/>
      <c r="I146" s="210"/>
    </row>
    <row r="147" spans="1:9">
      <c r="A147" s="188"/>
      <c r="B147" s="210"/>
      <c r="C147" s="210"/>
      <c r="D147" s="210"/>
      <c r="E147" s="210"/>
      <c r="F147" s="210"/>
      <c r="G147" s="210"/>
      <c r="H147" s="210"/>
      <c r="I147" s="210"/>
    </row>
    <row r="148" spans="1:9">
      <c r="A148" s="188"/>
      <c r="B148" s="210"/>
      <c r="C148" s="210"/>
      <c r="D148" s="210"/>
      <c r="E148" s="210"/>
      <c r="F148" s="210"/>
      <c r="G148" s="210"/>
      <c r="H148" s="210"/>
      <c r="I148" s="210"/>
    </row>
    <row r="149" spans="1:9">
      <c r="A149" s="188"/>
      <c r="B149" s="210"/>
      <c r="C149" s="210"/>
      <c r="D149" s="210"/>
      <c r="E149" s="210"/>
      <c r="F149" s="210"/>
      <c r="G149" s="210"/>
      <c r="H149" s="210"/>
      <c r="I149" s="210"/>
    </row>
    <row r="150" spans="1:9">
      <c r="A150" s="188"/>
      <c r="B150" s="210"/>
      <c r="C150" s="210"/>
      <c r="D150" s="210"/>
      <c r="E150" s="210"/>
      <c r="F150" s="210"/>
      <c r="G150" s="210"/>
      <c r="H150" s="210"/>
      <c r="I150" s="210"/>
    </row>
    <row r="151" spans="1:9">
      <c r="A151" s="188"/>
      <c r="B151" s="210"/>
      <c r="C151" s="210"/>
      <c r="D151" s="210"/>
      <c r="E151" s="210"/>
      <c r="F151" s="210"/>
      <c r="G151" s="210"/>
      <c r="H151" s="210"/>
      <c r="I151" s="210"/>
    </row>
    <row r="152" spans="1:9">
      <c r="A152" s="188"/>
      <c r="B152" s="210"/>
      <c r="C152" s="210"/>
      <c r="D152" s="210"/>
      <c r="E152" s="210"/>
      <c r="F152" s="210"/>
      <c r="G152" s="210"/>
      <c r="H152" s="210"/>
      <c r="I152" s="210"/>
    </row>
    <row r="153" spans="1:9">
      <c r="A153" s="188"/>
      <c r="B153" s="210"/>
      <c r="C153" s="210"/>
      <c r="D153" s="210"/>
      <c r="E153" s="210"/>
      <c r="F153" s="210"/>
      <c r="G153" s="210"/>
      <c r="H153" s="210"/>
      <c r="I153" s="210"/>
    </row>
    <row r="154" spans="1:9">
      <c r="A154" s="188"/>
      <c r="B154" s="210"/>
      <c r="C154" s="210"/>
      <c r="D154" s="210"/>
      <c r="E154" s="210"/>
      <c r="F154" s="210"/>
      <c r="G154" s="210"/>
      <c r="H154" s="210"/>
      <c r="I154" s="210"/>
    </row>
    <row r="155" spans="1:9">
      <c r="A155" s="188"/>
      <c r="B155" s="210"/>
      <c r="C155" s="210"/>
      <c r="D155" s="210"/>
      <c r="E155" s="210"/>
      <c r="F155" s="210"/>
      <c r="G155" s="210"/>
      <c r="H155" s="210"/>
      <c r="I155" s="210"/>
    </row>
    <row r="156" spans="1:9">
      <c r="A156" s="188"/>
      <c r="B156" s="210"/>
      <c r="C156" s="210"/>
      <c r="D156" s="210"/>
      <c r="E156" s="210"/>
      <c r="F156" s="210"/>
      <c r="G156" s="210"/>
      <c r="H156" s="210"/>
      <c r="I156" s="210"/>
    </row>
    <row r="157" spans="1:9">
      <c r="A157" s="188"/>
      <c r="B157" s="210"/>
      <c r="C157" s="210"/>
      <c r="D157" s="210"/>
      <c r="E157" s="210"/>
      <c r="F157" s="210"/>
      <c r="G157" s="210"/>
      <c r="H157" s="210"/>
      <c r="I157" s="210"/>
    </row>
    <row r="158" spans="1:9">
      <c r="A158" s="188"/>
      <c r="B158" s="210"/>
      <c r="C158" s="210"/>
      <c r="D158" s="210"/>
      <c r="E158" s="210"/>
      <c r="F158" s="210"/>
      <c r="G158" s="210"/>
      <c r="H158" s="210"/>
      <c r="I158" s="210"/>
    </row>
    <row r="159" spans="1:9">
      <c r="A159" s="188"/>
      <c r="B159" s="210"/>
      <c r="C159" s="210"/>
      <c r="D159" s="210"/>
      <c r="E159" s="210"/>
      <c r="F159" s="210"/>
      <c r="G159" s="210"/>
      <c r="H159" s="210"/>
      <c r="I159" s="210"/>
    </row>
    <row r="160" spans="1:9">
      <c r="A160" s="188"/>
      <c r="B160" s="210"/>
      <c r="C160" s="210"/>
      <c r="D160" s="210"/>
      <c r="E160" s="210"/>
      <c r="F160" s="210"/>
      <c r="G160" s="210"/>
      <c r="H160" s="210"/>
      <c r="I160" s="210"/>
    </row>
    <row r="161" spans="1:9">
      <c r="A161" s="188"/>
      <c r="B161" s="210"/>
      <c r="C161" s="210"/>
      <c r="D161" s="210"/>
      <c r="E161" s="210"/>
      <c r="F161" s="210"/>
      <c r="G161" s="210"/>
      <c r="H161" s="210"/>
      <c r="I161" s="210"/>
    </row>
    <row r="162" spans="1:9">
      <c r="A162" s="188"/>
      <c r="B162" s="210"/>
      <c r="C162" s="210"/>
      <c r="D162" s="210"/>
      <c r="E162" s="210"/>
      <c r="F162" s="210"/>
      <c r="G162" s="210"/>
      <c r="H162" s="210"/>
      <c r="I162" s="210"/>
    </row>
    <row r="163" spans="1:9">
      <c r="A163" s="188"/>
      <c r="B163" s="210"/>
      <c r="C163" s="210"/>
      <c r="D163" s="210"/>
      <c r="E163" s="210"/>
      <c r="F163" s="210"/>
      <c r="G163" s="210"/>
      <c r="H163" s="210"/>
      <c r="I163" s="210"/>
    </row>
    <row r="164" spans="1:9">
      <c r="A164" s="188"/>
      <c r="B164" s="210"/>
      <c r="C164" s="210"/>
      <c r="D164" s="210"/>
      <c r="E164" s="210"/>
      <c r="F164" s="210"/>
      <c r="G164" s="210"/>
      <c r="H164" s="210"/>
      <c r="I164" s="210"/>
    </row>
    <row r="165" spans="1:9">
      <c r="A165" s="188"/>
      <c r="B165" s="210"/>
      <c r="C165" s="210"/>
      <c r="D165" s="210"/>
      <c r="E165" s="210"/>
      <c r="F165" s="210"/>
      <c r="G165" s="210"/>
      <c r="H165" s="210"/>
      <c r="I165" s="210"/>
    </row>
    <row r="166" spans="1:9">
      <c r="A166" s="188"/>
      <c r="B166" s="210"/>
      <c r="C166" s="210"/>
      <c r="D166" s="210"/>
      <c r="E166" s="210"/>
      <c r="F166" s="210"/>
      <c r="G166" s="210"/>
      <c r="H166" s="210"/>
      <c r="I166" s="210"/>
    </row>
    <row r="167" spans="1:9">
      <c r="A167" s="188"/>
      <c r="B167" s="210"/>
      <c r="C167" s="210"/>
      <c r="D167" s="210"/>
      <c r="E167" s="210"/>
      <c r="F167" s="210"/>
      <c r="G167" s="210"/>
      <c r="H167" s="210"/>
      <c r="I167" s="210"/>
    </row>
    <row r="168" spans="1:9">
      <c r="A168" s="188"/>
      <c r="B168" s="210"/>
      <c r="C168" s="210"/>
      <c r="D168" s="210"/>
      <c r="E168" s="210"/>
      <c r="F168" s="210"/>
      <c r="G168" s="210"/>
      <c r="H168" s="210"/>
      <c r="I168" s="210"/>
    </row>
    <row r="169" spans="1:9">
      <c r="A169" s="188"/>
      <c r="B169" s="210"/>
      <c r="C169" s="210"/>
      <c r="D169" s="210"/>
      <c r="E169" s="210"/>
      <c r="F169" s="210"/>
      <c r="G169" s="210"/>
      <c r="H169" s="210"/>
      <c r="I169" s="210"/>
    </row>
    <row r="170" spans="1:9">
      <c r="A170" s="188"/>
      <c r="B170" s="210"/>
      <c r="C170" s="210"/>
      <c r="D170" s="210"/>
      <c r="E170" s="210"/>
      <c r="F170" s="210"/>
      <c r="G170" s="210"/>
      <c r="H170" s="210"/>
      <c r="I170" s="210"/>
    </row>
    <row r="171" spans="1:9">
      <c r="A171" s="188"/>
      <c r="B171" s="210"/>
      <c r="C171" s="210"/>
      <c r="D171" s="210"/>
      <c r="E171" s="210"/>
      <c r="F171" s="210"/>
      <c r="G171" s="210"/>
      <c r="H171" s="210"/>
      <c r="I171" s="210"/>
    </row>
    <row r="172" spans="1:9">
      <c r="A172" s="188"/>
      <c r="B172" s="210"/>
      <c r="C172" s="210"/>
      <c r="D172" s="210"/>
      <c r="E172" s="210"/>
      <c r="F172" s="210"/>
      <c r="G172" s="210"/>
      <c r="H172" s="210"/>
      <c r="I172" s="210"/>
    </row>
    <row r="173" spans="1:9">
      <c r="A173" s="188"/>
      <c r="B173" s="210"/>
      <c r="C173" s="210"/>
      <c r="D173" s="210"/>
      <c r="E173" s="210"/>
      <c r="F173" s="210"/>
      <c r="G173" s="210"/>
      <c r="H173" s="210"/>
      <c r="I173" s="210"/>
    </row>
    <row r="174" spans="1:9">
      <c r="A174" s="188"/>
      <c r="B174" s="210"/>
      <c r="C174" s="210"/>
      <c r="D174" s="210"/>
      <c r="E174" s="210"/>
      <c r="F174" s="210"/>
      <c r="G174" s="210"/>
      <c r="H174" s="210"/>
      <c r="I174" s="210"/>
    </row>
    <row r="175" spans="1:9">
      <c r="A175" s="188"/>
      <c r="B175" s="210"/>
      <c r="C175" s="210"/>
      <c r="D175" s="210"/>
      <c r="E175" s="210"/>
      <c r="F175" s="210"/>
      <c r="G175" s="210"/>
      <c r="H175" s="210"/>
      <c r="I175" s="210"/>
    </row>
    <row r="176" spans="1:9">
      <c r="A176" s="32"/>
      <c r="B176" s="210"/>
      <c r="C176" s="210"/>
      <c r="D176" s="210"/>
      <c r="E176" s="210"/>
      <c r="F176" s="210"/>
      <c r="G176" s="210"/>
      <c r="H176" s="210"/>
      <c r="I176" s="210"/>
    </row>
    <row r="177" spans="1:9">
      <c r="A177" s="32"/>
      <c r="B177" s="210"/>
      <c r="C177" s="210"/>
      <c r="D177" s="210"/>
      <c r="E177" s="210"/>
      <c r="F177" s="210"/>
      <c r="G177" s="210"/>
      <c r="H177" s="210"/>
      <c r="I177" s="210"/>
    </row>
    <row r="178" spans="1:9">
      <c r="A178" s="32"/>
      <c r="B178" s="210"/>
      <c r="C178" s="210"/>
      <c r="D178" s="210"/>
      <c r="E178" s="210"/>
      <c r="F178" s="210"/>
      <c r="G178" s="210"/>
      <c r="H178" s="210"/>
      <c r="I178" s="210"/>
    </row>
    <row r="179" spans="1:9">
      <c r="A179" s="32"/>
      <c r="B179" s="210"/>
      <c r="C179" s="210"/>
      <c r="D179" s="210"/>
      <c r="E179" s="210"/>
      <c r="F179" s="210"/>
      <c r="G179" s="210"/>
      <c r="H179" s="210"/>
      <c r="I179" s="210"/>
    </row>
    <row r="180" spans="1:9">
      <c r="A180" s="32"/>
      <c r="B180" s="210"/>
      <c r="C180" s="210"/>
      <c r="D180" s="210"/>
      <c r="E180" s="210"/>
      <c r="F180" s="210"/>
      <c r="G180" s="210"/>
      <c r="H180" s="210"/>
      <c r="I180" s="210"/>
    </row>
    <row r="181" spans="1:9">
      <c r="A181" s="32"/>
      <c r="B181" s="210"/>
      <c r="C181" s="210"/>
      <c r="D181" s="210"/>
      <c r="E181" s="210"/>
      <c r="F181" s="210"/>
      <c r="G181" s="210"/>
      <c r="H181" s="210"/>
      <c r="I181" s="210"/>
    </row>
    <row r="182" spans="1:9">
      <c r="A182" s="32"/>
      <c r="B182" s="210"/>
      <c r="C182" s="210"/>
      <c r="D182" s="210"/>
      <c r="E182" s="210"/>
      <c r="F182" s="210"/>
      <c r="G182" s="210"/>
      <c r="H182" s="210"/>
      <c r="I182" s="210"/>
    </row>
    <row r="183" spans="1:9">
      <c r="A183" s="32"/>
      <c r="B183" s="210"/>
      <c r="C183" s="210"/>
      <c r="D183" s="210"/>
      <c r="E183" s="210"/>
      <c r="F183" s="210"/>
      <c r="G183" s="210"/>
      <c r="H183" s="210"/>
      <c r="I183" s="210"/>
    </row>
    <row r="184" spans="1:9">
      <c r="A184" s="32"/>
      <c r="B184" s="210"/>
      <c r="C184" s="210"/>
      <c r="D184" s="210"/>
      <c r="E184" s="210"/>
      <c r="F184" s="210"/>
      <c r="G184" s="210"/>
      <c r="H184" s="210"/>
      <c r="I184" s="210"/>
    </row>
    <row r="185" spans="1:9">
      <c r="A185" s="32"/>
      <c r="B185" s="210"/>
      <c r="C185" s="210"/>
      <c r="D185" s="210"/>
      <c r="E185" s="210"/>
      <c r="F185" s="210"/>
      <c r="G185" s="210"/>
      <c r="H185" s="210"/>
      <c r="I185" s="210"/>
    </row>
    <row r="186" spans="1:9">
      <c r="A186" s="32"/>
      <c r="B186" s="210"/>
      <c r="C186" s="210"/>
      <c r="D186" s="210"/>
      <c r="E186" s="210"/>
      <c r="F186" s="210"/>
      <c r="G186" s="210"/>
      <c r="H186" s="210"/>
      <c r="I186" s="210"/>
    </row>
    <row r="187" spans="1:9">
      <c r="A187" s="32"/>
      <c r="B187" s="210"/>
      <c r="C187" s="210"/>
      <c r="D187" s="210"/>
      <c r="E187" s="210"/>
      <c r="F187" s="210"/>
      <c r="G187" s="210"/>
      <c r="H187" s="210"/>
      <c r="I187" s="210"/>
    </row>
    <row r="188" spans="1:9">
      <c r="A188" s="32"/>
      <c r="B188" s="210"/>
      <c r="C188" s="210"/>
      <c r="D188" s="210"/>
      <c r="E188" s="210"/>
      <c r="F188" s="210"/>
      <c r="G188" s="210"/>
      <c r="H188" s="210"/>
      <c r="I188" s="210"/>
    </row>
    <row r="189" spans="1:9">
      <c r="A189" s="32"/>
      <c r="B189" s="210"/>
      <c r="C189" s="210"/>
      <c r="D189" s="210"/>
      <c r="E189" s="210"/>
      <c r="F189" s="210"/>
      <c r="G189" s="210"/>
      <c r="H189" s="210"/>
      <c r="I189" s="210"/>
    </row>
    <row r="190" spans="1:9">
      <c r="A190" s="32"/>
      <c r="B190" s="210"/>
      <c r="C190" s="210"/>
      <c r="D190" s="210"/>
      <c r="E190" s="210"/>
      <c r="F190" s="210"/>
      <c r="G190" s="210"/>
      <c r="H190" s="210"/>
      <c r="I190" s="210"/>
    </row>
    <row r="191" spans="1:9">
      <c r="A191" s="32"/>
      <c r="B191" s="210"/>
      <c r="C191" s="210"/>
      <c r="D191" s="210"/>
      <c r="E191" s="210"/>
      <c r="F191" s="210"/>
      <c r="G191" s="210"/>
      <c r="H191" s="210"/>
      <c r="I191" s="210"/>
    </row>
    <row r="192" spans="1:9">
      <c r="A192" s="32"/>
      <c r="B192" s="210"/>
      <c r="C192" s="210"/>
      <c r="D192" s="210"/>
      <c r="E192" s="210"/>
      <c r="F192" s="210"/>
      <c r="G192" s="210"/>
      <c r="H192" s="210"/>
      <c r="I192" s="210"/>
    </row>
    <row r="193" spans="1:9">
      <c r="A193" s="32"/>
      <c r="B193" s="210"/>
      <c r="C193" s="210"/>
      <c r="D193" s="210"/>
      <c r="E193" s="210"/>
      <c r="F193" s="210"/>
      <c r="G193" s="210"/>
      <c r="H193" s="210"/>
      <c r="I193" s="210"/>
    </row>
    <row r="194" spans="1:9">
      <c r="A194" s="32"/>
      <c r="B194" s="210"/>
      <c r="C194" s="210"/>
      <c r="D194" s="210"/>
      <c r="E194" s="210"/>
      <c r="F194" s="210"/>
      <c r="G194" s="210"/>
      <c r="H194" s="210"/>
      <c r="I194" s="210"/>
    </row>
    <row r="195" spans="1:9">
      <c r="A195" s="32"/>
      <c r="B195" s="210"/>
      <c r="C195" s="210"/>
      <c r="D195" s="210"/>
      <c r="E195" s="210"/>
      <c r="F195" s="210"/>
      <c r="G195" s="210"/>
      <c r="H195" s="210"/>
      <c r="I195" s="210"/>
    </row>
    <row r="196" spans="1:9">
      <c r="A196" s="32"/>
      <c r="B196" s="210"/>
      <c r="C196" s="210"/>
      <c r="D196" s="210"/>
      <c r="E196" s="210"/>
      <c r="F196" s="210"/>
      <c r="G196" s="210"/>
      <c r="H196" s="210"/>
      <c r="I196" s="210"/>
    </row>
    <row r="197" spans="1:9">
      <c r="A197" s="32"/>
      <c r="B197" s="210"/>
      <c r="C197" s="210"/>
      <c r="D197" s="210"/>
      <c r="E197" s="210"/>
      <c r="F197" s="210"/>
      <c r="G197" s="210"/>
      <c r="H197" s="210"/>
      <c r="I197" s="210"/>
    </row>
    <row r="198" spans="1:9">
      <c r="A198" s="32"/>
      <c r="B198" s="210"/>
      <c r="C198" s="210"/>
      <c r="D198" s="210"/>
      <c r="E198" s="210"/>
      <c r="F198" s="210"/>
      <c r="G198" s="210"/>
      <c r="H198" s="210"/>
      <c r="I198" s="210"/>
    </row>
    <row r="199" spans="1:9">
      <c r="A199" s="32"/>
      <c r="B199" s="210"/>
      <c r="C199" s="210"/>
      <c r="D199" s="210"/>
      <c r="E199" s="210"/>
      <c r="F199" s="210"/>
      <c r="G199" s="210"/>
      <c r="H199" s="210"/>
      <c r="I199" s="210"/>
    </row>
    <row r="200" spans="1:9">
      <c r="A200" s="32"/>
      <c r="B200" s="210"/>
      <c r="C200" s="210"/>
      <c r="D200" s="210"/>
      <c r="E200" s="210"/>
      <c r="F200" s="210"/>
      <c r="G200" s="210"/>
      <c r="H200" s="210"/>
      <c r="I200" s="210"/>
    </row>
    <row r="201" spans="1:9">
      <c r="A201" s="32"/>
      <c r="B201" s="210"/>
      <c r="C201" s="210"/>
      <c r="D201" s="210"/>
      <c r="E201" s="210"/>
      <c r="F201" s="210"/>
      <c r="G201" s="210"/>
      <c r="H201" s="210"/>
      <c r="I201" s="210"/>
    </row>
    <row r="202" spans="1:9">
      <c r="A202" s="32"/>
      <c r="B202" s="210"/>
      <c r="C202" s="210"/>
      <c r="D202" s="210"/>
      <c r="E202" s="210"/>
      <c r="F202" s="210"/>
      <c r="G202" s="210"/>
      <c r="H202" s="210"/>
      <c r="I202" s="210"/>
    </row>
    <row r="203" spans="1:9">
      <c r="A203" s="32"/>
      <c r="B203" s="210"/>
      <c r="C203" s="210"/>
      <c r="D203" s="210"/>
      <c r="E203" s="210"/>
      <c r="F203" s="210"/>
      <c r="G203" s="210"/>
      <c r="H203" s="210"/>
      <c r="I203" s="210"/>
    </row>
    <row r="204" spans="1:9">
      <c r="A204" s="32"/>
      <c r="B204" s="210"/>
      <c r="C204" s="210"/>
      <c r="D204" s="210"/>
      <c r="E204" s="210"/>
      <c r="F204" s="210"/>
      <c r="G204" s="210"/>
      <c r="H204" s="210"/>
      <c r="I204" s="210"/>
    </row>
    <row r="205" spans="1:9">
      <c r="A205" s="32"/>
      <c r="B205" s="210"/>
      <c r="C205" s="210"/>
      <c r="D205" s="210"/>
      <c r="E205" s="210"/>
      <c r="F205" s="210"/>
      <c r="G205" s="210"/>
      <c r="H205" s="210"/>
      <c r="I205" s="210"/>
    </row>
    <row r="206" spans="1:9">
      <c r="A206" s="32"/>
      <c r="B206" s="210"/>
      <c r="C206" s="210"/>
      <c r="D206" s="210"/>
      <c r="E206" s="210"/>
      <c r="F206" s="210"/>
      <c r="G206" s="210"/>
      <c r="H206" s="210"/>
      <c r="I206" s="210"/>
    </row>
    <row r="207" spans="1:9">
      <c r="A207" s="32"/>
      <c r="B207" s="210"/>
      <c r="C207" s="210"/>
      <c r="D207" s="210"/>
      <c r="E207" s="210"/>
      <c r="F207" s="210"/>
      <c r="G207" s="210"/>
      <c r="H207" s="210"/>
      <c r="I207" s="210"/>
    </row>
    <row r="208" spans="1:9">
      <c r="A208" s="32"/>
      <c r="B208" s="210"/>
      <c r="C208" s="210"/>
      <c r="D208" s="210"/>
      <c r="E208" s="210"/>
      <c r="F208" s="210"/>
      <c r="G208" s="210"/>
      <c r="H208" s="210"/>
      <c r="I208" s="210"/>
    </row>
    <row r="209" spans="1:9">
      <c r="A209" s="32"/>
      <c r="B209" s="210"/>
      <c r="C209" s="210"/>
      <c r="D209" s="210"/>
      <c r="E209" s="210"/>
      <c r="F209" s="210"/>
      <c r="G209" s="210"/>
      <c r="H209" s="210"/>
      <c r="I209" s="210"/>
    </row>
    <row r="210" spans="1:9">
      <c r="A210" s="32"/>
      <c r="B210" s="210"/>
      <c r="C210" s="210"/>
      <c r="D210" s="210"/>
      <c r="E210" s="210"/>
      <c r="F210" s="210"/>
      <c r="G210" s="210"/>
      <c r="H210" s="210"/>
      <c r="I210" s="210"/>
    </row>
    <row r="211" spans="1:9">
      <c r="A211" s="32"/>
      <c r="B211" s="210"/>
      <c r="C211" s="210"/>
      <c r="D211" s="210"/>
      <c r="E211" s="210"/>
      <c r="F211" s="210"/>
      <c r="G211" s="210"/>
      <c r="H211" s="210"/>
      <c r="I211" s="210"/>
    </row>
    <row r="212" spans="1:9">
      <c r="A212" s="32"/>
      <c r="B212" s="210"/>
      <c r="C212" s="210"/>
      <c r="D212" s="210"/>
      <c r="E212" s="210"/>
      <c r="F212" s="210"/>
      <c r="G212" s="210"/>
      <c r="H212" s="210"/>
      <c r="I212" s="210"/>
    </row>
    <row r="213" spans="1:9">
      <c r="A213" s="32"/>
      <c r="B213" s="210"/>
      <c r="C213" s="210"/>
      <c r="D213" s="210"/>
      <c r="E213" s="210"/>
      <c r="F213" s="210"/>
      <c r="G213" s="210"/>
      <c r="H213" s="210"/>
      <c r="I213" s="210"/>
    </row>
    <row r="214" spans="1:9">
      <c r="A214" s="32"/>
      <c r="B214" s="210"/>
      <c r="C214" s="210"/>
      <c r="D214" s="210"/>
      <c r="E214" s="210"/>
      <c r="F214" s="210"/>
      <c r="G214" s="210"/>
      <c r="H214" s="210"/>
      <c r="I214" s="210"/>
    </row>
    <row r="215" spans="1:9">
      <c r="A215" s="32"/>
      <c r="B215" s="210"/>
      <c r="C215" s="210"/>
      <c r="D215" s="210"/>
      <c r="E215" s="210"/>
      <c r="F215" s="210"/>
      <c r="G215" s="210"/>
      <c r="H215" s="210"/>
      <c r="I215" s="210"/>
    </row>
    <row r="216" spans="1:9">
      <c r="A216" s="32"/>
      <c r="B216" s="210"/>
      <c r="C216" s="210"/>
      <c r="D216" s="210"/>
      <c r="E216" s="210"/>
      <c r="F216" s="210"/>
      <c r="G216" s="210"/>
      <c r="H216" s="210"/>
      <c r="I216" s="210"/>
    </row>
    <row r="217" spans="1:9">
      <c r="A217" s="32"/>
      <c r="B217" s="210"/>
      <c r="C217" s="210"/>
      <c r="D217" s="210"/>
      <c r="E217" s="210"/>
      <c r="F217" s="210"/>
      <c r="G217" s="210"/>
      <c r="H217" s="210"/>
      <c r="I217" s="210"/>
    </row>
    <row r="218" spans="1:9">
      <c r="A218" s="32"/>
      <c r="B218" s="210"/>
      <c r="C218" s="210"/>
      <c r="D218" s="210"/>
      <c r="E218" s="210"/>
      <c r="F218" s="210"/>
      <c r="G218" s="210"/>
      <c r="H218" s="210"/>
      <c r="I218" s="210"/>
    </row>
    <row r="219" spans="1:9">
      <c r="A219" s="32"/>
      <c r="B219" s="210"/>
      <c r="C219" s="210"/>
      <c r="D219" s="210"/>
      <c r="E219" s="210"/>
      <c r="F219" s="210"/>
      <c r="G219" s="210"/>
      <c r="H219" s="210"/>
      <c r="I219" s="210"/>
    </row>
    <row r="220" spans="1:9">
      <c r="A220" s="32"/>
      <c r="B220" s="210"/>
      <c r="C220" s="210"/>
      <c r="D220" s="210"/>
      <c r="E220" s="210"/>
      <c r="F220" s="210"/>
      <c r="G220" s="210"/>
      <c r="H220" s="210"/>
      <c r="I220" s="210"/>
    </row>
    <row r="221" spans="1:9">
      <c r="A221" s="32"/>
      <c r="B221" s="210"/>
      <c r="C221" s="210"/>
      <c r="D221" s="210"/>
      <c r="E221" s="210"/>
      <c r="F221" s="210"/>
      <c r="G221" s="210"/>
      <c r="H221" s="210"/>
      <c r="I221" s="210"/>
    </row>
    <row r="222" spans="1:9">
      <c r="A222" s="32"/>
      <c r="B222" s="210"/>
      <c r="C222" s="210"/>
      <c r="D222" s="210"/>
      <c r="E222" s="210"/>
      <c r="F222" s="210"/>
      <c r="G222" s="210"/>
      <c r="H222" s="210"/>
      <c r="I222" s="210"/>
    </row>
    <row r="223" spans="1:9">
      <c r="A223" s="32"/>
      <c r="B223" s="210"/>
      <c r="C223" s="210"/>
      <c r="D223" s="210"/>
      <c r="E223" s="210"/>
      <c r="F223" s="210"/>
      <c r="G223" s="210"/>
      <c r="H223" s="210"/>
      <c r="I223" s="210"/>
    </row>
    <row r="224" spans="1:9">
      <c r="A224" s="32"/>
      <c r="B224" s="210"/>
      <c r="C224" s="210"/>
      <c r="D224" s="210"/>
      <c r="E224" s="210"/>
      <c r="F224" s="210"/>
      <c r="G224" s="210"/>
      <c r="H224" s="210"/>
      <c r="I224" s="210"/>
    </row>
    <row r="225" spans="1:9">
      <c r="A225" s="32"/>
      <c r="B225" s="210"/>
      <c r="C225" s="210"/>
      <c r="D225" s="210"/>
      <c r="E225" s="210"/>
      <c r="F225" s="210"/>
      <c r="G225" s="210"/>
      <c r="H225" s="210"/>
      <c r="I225" s="210"/>
    </row>
    <row r="226" spans="1:9">
      <c r="A226" s="32"/>
      <c r="B226" s="210"/>
      <c r="C226" s="210"/>
      <c r="D226" s="210"/>
      <c r="E226" s="210"/>
      <c r="F226" s="210"/>
      <c r="G226" s="210"/>
      <c r="H226" s="210"/>
      <c r="I226" s="210"/>
    </row>
    <row r="227" spans="1:9">
      <c r="A227" s="32"/>
      <c r="B227" s="210"/>
      <c r="C227" s="210"/>
      <c r="D227" s="210"/>
      <c r="E227" s="210"/>
      <c r="F227" s="210"/>
      <c r="G227" s="210"/>
      <c r="H227" s="210"/>
      <c r="I227" s="210"/>
    </row>
    <row r="228" spans="1:9">
      <c r="A228" s="32"/>
      <c r="B228" s="210"/>
      <c r="C228" s="210"/>
      <c r="D228" s="210"/>
      <c r="E228" s="210"/>
      <c r="F228" s="210"/>
      <c r="G228" s="210"/>
      <c r="H228" s="210"/>
      <c r="I228" s="210"/>
    </row>
    <row r="229" spans="1:9">
      <c r="A229" s="32"/>
      <c r="B229" s="210"/>
      <c r="C229" s="210"/>
      <c r="D229" s="210"/>
      <c r="E229" s="210"/>
      <c r="F229" s="210"/>
      <c r="G229" s="210"/>
      <c r="H229" s="210"/>
      <c r="I229" s="210"/>
    </row>
    <row r="230" spans="1:9">
      <c r="A230" s="32"/>
      <c r="B230" s="210"/>
      <c r="C230" s="210"/>
      <c r="D230" s="210"/>
      <c r="E230" s="210"/>
      <c r="F230" s="210"/>
      <c r="G230" s="210"/>
      <c r="H230" s="210"/>
      <c r="I230" s="210"/>
    </row>
    <row r="231" spans="1:9">
      <c r="A231" s="32"/>
      <c r="B231" s="210"/>
      <c r="C231" s="210"/>
      <c r="D231" s="210"/>
      <c r="E231" s="210"/>
      <c r="F231" s="210"/>
      <c r="G231" s="210"/>
      <c r="H231" s="210"/>
      <c r="I231" s="210"/>
    </row>
    <row r="232" spans="1:9">
      <c r="A232" s="32"/>
      <c r="B232" s="210"/>
      <c r="C232" s="210"/>
      <c r="D232" s="210"/>
      <c r="E232" s="210"/>
      <c r="F232" s="210"/>
      <c r="G232" s="210"/>
      <c r="H232" s="210"/>
      <c r="I232" s="210"/>
    </row>
    <row r="233" spans="1:9">
      <c r="A233" s="32"/>
      <c r="B233" s="210"/>
      <c r="C233" s="210"/>
      <c r="D233" s="210"/>
      <c r="E233" s="210"/>
      <c r="F233" s="210"/>
      <c r="G233" s="210"/>
      <c r="H233" s="210"/>
      <c r="I233" s="210"/>
    </row>
    <row r="234" spans="1:9">
      <c r="A234" s="32"/>
      <c r="B234" s="210"/>
      <c r="C234" s="210"/>
      <c r="D234" s="210"/>
      <c r="E234" s="210"/>
      <c r="F234" s="210"/>
      <c r="G234" s="210"/>
      <c r="H234" s="210"/>
      <c r="I234" s="210"/>
    </row>
    <row r="235" spans="1:9">
      <c r="A235" s="32"/>
      <c r="B235" s="210"/>
      <c r="C235" s="210"/>
      <c r="D235" s="210"/>
      <c r="E235" s="210"/>
      <c r="F235" s="210"/>
      <c r="G235" s="210"/>
      <c r="H235" s="210"/>
      <c r="I235" s="210"/>
    </row>
    <row r="236" spans="1:9">
      <c r="A236" s="32"/>
      <c r="B236" s="210"/>
      <c r="C236" s="210"/>
      <c r="D236" s="210"/>
      <c r="E236" s="210"/>
      <c r="F236" s="210"/>
      <c r="G236" s="210"/>
      <c r="H236" s="210"/>
      <c r="I236" s="210"/>
    </row>
    <row r="237" spans="1:9">
      <c r="A237" s="32"/>
      <c r="B237" s="210"/>
      <c r="C237" s="210"/>
      <c r="D237" s="210"/>
      <c r="E237" s="210"/>
      <c r="F237" s="210"/>
      <c r="G237" s="210"/>
      <c r="H237" s="210"/>
      <c r="I237" s="210"/>
    </row>
    <row r="238" spans="1:9">
      <c r="A238" s="32"/>
      <c r="B238" s="210"/>
      <c r="C238" s="210"/>
      <c r="D238" s="210"/>
      <c r="E238" s="210"/>
      <c r="F238" s="210"/>
      <c r="G238" s="210"/>
      <c r="H238" s="210"/>
      <c r="I238" s="210"/>
    </row>
    <row r="239" spans="1:9">
      <c r="A239" s="32"/>
      <c r="B239" s="210"/>
      <c r="C239" s="210"/>
      <c r="D239" s="210"/>
      <c r="E239" s="210"/>
      <c r="F239" s="210"/>
      <c r="G239" s="210"/>
      <c r="H239" s="210"/>
      <c r="I239" s="210"/>
    </row>
    <row r="240" spans="1:9">
      <c r="A240" s="32"/>
      <c r="B240" s="210"/>
      <c r="C240" s="210"/>
      <c r="D240" s="210"/>
      <c r="E240" s="210"/>
      <c r="F240" s="210"/>
      <c r="G240" s="210"/>
      <c r="H240" s="210"/>
      <c r="I240" s="210"/>
    </row>
    <row r="241" spans="1:9">
      <c r="A241" s="32"/>
      <c r="B241" s="210"/>
      <c r="C241" s="210"/>
      <c r="D241" s="210"/>
      <c r="E241" s="210"/>
      <c r="F241" s="210"/>
      <c r="G241" s="210"/>
      <c r="H241" s="210"/>
      <c r="I241" s="210"/>
    </row>
    <row r="242" spans="1:9">
      <c r="A242" s="32"/>
      <c r="B242" s="210"/>
      <c r="C242" s="210"/>
      <c r="D242" s="210"/>
      <c r="E242" s="210"/>
      <c r="F242" s="210"/>
      <c r="G242" s="210"/>
      <c r="H242" s="210"/>
      <c r="I242" s="210"/>
    </row>
    <row r="243" spans="1:9">
      <c r="A243" s="32"/>
      <c r="B243" s="210"/>
      <c r="C243" s="210"/>
      <c r="D243" s="210"/>
      <c r="E243" s="210"/>
      <c r="F243" s="210"/>
      <c r="G243" s="210"/>
      <c r="H243" s="210"/>
      <c r="I243" s="210"/>
    </row>
    <row r="244" spans="1:9">
      <c r="A244" s="32"/>
      <c r="B244" s="210"/>
      <c r="C244" s="210"/>
      <c r="D244" s="210"/>
      <c r="E244" s="210"/>
      <c r="F244" s="210"/>
      <c r="G244" s="210"/>
      <c r="H244" s="210"/>
      <c r="I244" s="210"/>
    </row>
    <row r="245" spans="1:9">
      <c r="A245" s="32"/>
      <c r="B245" s="210"/>
      <c r="C245" s="210"/>
      <c r="D245" s="210"/>
      <c r="E245" s="210"/>
      <c r="F245" s="210"/>
      <c r="G245" s="210"/>
      <c r="H245" s="210"/>
      <c r="I245" s="210"/>
    </row>
    <row r="246" spans="1:9">
      <c r="A246" s="32"/>
      <c r="B246" s="210"/>
      <c r="C246" s="210"/>
      <c r="D246" s="210"/>
      <c r="E246" s="210"/>
      <c r="F246" s="210"/>
      <c r="G246" s="210"/>
      <c r="H246" s="210"/>
      <c r="I246" s="210"/>
    </row>
    <row r="247" spans="1:9">
      <c r="A247" s="32"/>
      <c r="B247" s="210"/>
      <c r="C247" s="210"/>
      <c r="D247" s="210"/>
      <c r="E247" s="210"/>
      <c r="F247" s="210"/>
      <c r="G247" s="210"/>
      <c r="H247" s="210"/>
      <c r="I247" s="210"/>
    </row>
    <row r="248" spans="1:9">
      <c r="A248" s="32"/>
      <c r="B248" s="210"/>
      <c r="C248" s="210"/>
      <c r="D248" s="210"/>
      <c r="E248" s="210"/>
      <c r="F248" s="210"/>
      <c r="G248" s="210"/>
      <c r="H248" s="210"/>
      <c r="I248" s="210"/>
    </row>
    <row r="249" spans="1:9">
      <c r="A249" s="32"/>
      <c r="B249" s="210"/>
      <c r="C249" s="210"/>
      <c r="D249" s="210"/>
      <c r="E249" s="210"/>
      <c r="F249" s="210"/>
      <c r="G249" s="210"/>
      <c r="H249" s="210"/>
      <c r="I249" s="210"/>
    </row>
    <row r="250" spans="1:9">
      <c r="A250" s="32"/>
      <c r="B250" s="210"/>
      <c r="C250" s="210"/>
      <c r="D250" s="210"/>
      <c r="E250" s="210"/>
      <c r="F250" s="210"/>
      <c r="G250" s="210"/>
      <c r="H250" s="210"/>
      <c r="I250" s="210"/>
    </row>
    <row r="251" spans="1:9">
      <c r="A251" s="32"/>
      <c r="B251" s="210"/>
      <c r="C251" s="210"/>
      <c r="D251" s="210"/>
      <c r="E251" s="210"/>
      <c r="F251" s="210"/>
      <c r="G251" s="210"/>
      <c r="H251" s="210"/>
      <c r="I251" s="210"/>
    </row>
    <row r="252" spans="1:9">
      <c r="A252" s="32"/>
      <c r="B252" s="210"/>
      <c r="C252" s="210"/>
      <c r="D252" s="210"/>
      <c r="E252" s="210"/>
      <c r="F252" s="210"/>
      <c r="G252" s="210"/>
      <c r="H252" s="210"/>
      <c r="I252" s="210"/>
    </row>
    <row r="253" spans="1:9">
      <c r="A253" s="32"/>
      <c r="B253" s="210"/>
      <c r="C253" s="210"/>
      <c r="D253" s="210"/>
      <c r="E253" s="210"/>
      <c r="F253" s="210"/>
      <c r="G253" s="210"/>
      <c r="H253" s="210"/>
      <c r="I253" s="210"/>
    </row>
    <row r="254" spans="1:9">
      <c r="A254" s="32"/>
      <c r="B254" s="210"/>
      <c r="C254" s="210"/>
      <c r="D254" s="210"/>
      <c r="E254" s="210"/>
      <c r="F254" s="210"/>
      <c r="G254" s="210"/>
      <c r="H254" s="210"/>
      <c r="I254" s="210"/>
    </row>
    <row r="255" spans="1:9">
      <c r="A255" s="32"/>
      <c r="B255" s="210"/>
      <c r="C255" s="210"/>
      <c r="D255" s="210"/>
      <c r="E255" s="210"/>
      <c r="F255" s="210"/>
      <c r="G255" s="210"/>
      <c r="H255" s="210"/>
      <c r="I255" s="210"/>
    </row>
    <row r="256" spans="1:9">
      <c r="A256" s="32"/>
      <c r="B256" s="210"/>
      <c r="C256" s="210"/>
      <c r="D256" s="210"/>
      <c r="E256" s="210"/>
      <c r="F256" s="210"/>
      <c r="G256" s="210"/>
      <c r="H256" s="210"/>
      <c r="I256" s="210"/>
    </row>
    <row r="257" spans="1:9">
      <c r="A257" s="32"/>
      <c r="B257" s="210"/>
      <c r="C257" s="210"/>
      <c r="D257" s="210"/>
      <c r="E257" s="210"/>
      <c r="F257" s="210"/>
      <c r="G257" s="210"/>
      <c r="H257" s="210"/>
      <c r="I257" s="210"/>
    </row>
    <row r="258" spans="1:9">
      <c r="A258" s="32"/>
      <c r="B258" s="210"/>
      <c r="C258" s="210"/>
      <c r="D258" s="210"/>
      <c r="E258" s="210"/>
      <c r="F258" s="210"/>
      <c r="G258" s="210"/>
      <c r="H258" s="210"/>
      <c r="I258" s="210"/>
    </row>
    <row r="259" spans="1:9">
      <c r="A259" s="32"/>
      <c r="B259" s="210"/>
      <c r="C259" s="210"/>
      <c r="D259" s="210"/>
      <c r="E259" s="210"/>
      <c r="F259" s="210"/>
      <c r="G259" s="210"/>
      <c r="H259" s="210"/>
      <c r="I259" s="210"/>
    </row>
    <row r="260" spans="1:9">
      <c r="A260" s="32"/>
      <c r="B260" s="210"/>
      <c r="C260" s="210"/>
      <c r="D260" s="210"/>
      <c r="E260" s="210"/>
      <c r="F260" s="210"/>
      <c r="G260" s="210"/>
      <c r="H260" s="210"/>
      <c r="I260" s="210"/>
    </row>
    <row r="261" spans="1:9">
      <c r="A261" s="32"/>
      <c r="B261" s="210"/>
      <c r="C261" s="210"/>
      <c r="D261" s="210"/>
      <c r="E261" s="210"/>
      <c r="F261" s="210"/>
      <c r="G261" s="210"/>
      <c r="H261" s="210"/>
      <c r="I261" s="210"/>
    </row>
    <row r="262" spans="1:9">
      <c r="A262" s="32"/>
      <c r="B262" s="210"/>
      <c r="C262" s="210"/>
      <c r="D262" s="210"/>
      <c r="E262" s="210"/>
      <c r="F262" s="210"/>
      <c r="G262" s="210"/>
      <c r="H262" s="210"/>
      <c r="I262" s="210"/>
    </row>
    <row r="263" spans="1:9">
      <c r="A263" s="32"/>
      <c r="B263" s="210"/>
      <c r="C263" s="210"/>
      <c r="D263" s="210"/>
      <c r="E263" s="210"/>
      <c r="F263" s="210"/>
      <c r="G263" s="210"/>
      <c r="H263" s="210"/>
      <c r="I263" s="210"/>
    </row>
    <row r="264" spans="1:9">
      <c r="A264" s="32"/>
      <c r="B264" s="210"/>
      <c r="C264" s="210"/>
      <c r="D264" s="210"/>
      <c r="E264" s="210"/>
      <c r="F264" s="210"/>
      <c r="G264" s="210"/>
      <c r="H264" s="210"/>
      <c r="I264" s="210"/>
    </row>
    <row r="265" spans="1:9">
      <c r="A265" s="32"/>
      <c r="B265" s="210"/>
      <c r="C265" s="210"/>
      <c r="D265" s="210"/>
      <c r="E265" s="210"/>
      <c r="F265" s="210"/>
      <c r="G265" s="210"/>
      <c r="H265" s="210"/>
      <c r="I265" s="210"/>
    </row>
    <row r="266" spans="1:9">
      <c r="A266" s="32"/>
      <c r="B266" s="210"/>
      <c r="C266" s="210"/>
      <c r="D266" s="210"/>
      <c r="E266" s="210"/>
      <c r="F266" s="210"/>
      <c r="G266" s="210"/>
      <c r="H266" s="210"/>
      <c r="I266" s="210"/>
    </row>
    <row r="267" spans="1:9">
      <c r="A267" s="32"/>
      <c r="B267" s="210"/>
      <c r="C267" s="210"/>
      <c r="D267" s="210"/>
      <c r="E267" s="210"/>
      <c r="F267" s="210"/>
      <c r="G267" s="210"/>
      <c r="H267" s="210"/>
      <c r="I267" s="210"/>
    </row>
    <row r="268" spans="1:9">
      <c r="A268" s="32"/>
      <c r="B268" s="210"/>
      <c r="C268" s="210"/>
      <c r="D268" s="210"/>
      <c r="E268" s="210"/>
      <c r="F268" s="210"/>
      <c r="G268" s="210"/>
      <c r="H268" s="210"/>
      <c r="I268" s="210"/>
    </row>
    <row r="269" spans="1:9">
      <c r="A269" s="32"/>
      <c r="B269" s="210"/>
      <c r="C269" s="210"/>
      <c r="D269" s="210"/>
      <c r="E269" s="210"/>
      <c r="F269" s="210"/>
      <c r="G269" s="210"/>
      <c r="H269" s="210"/>
      <c r="I269" s="210"/>
    </row>
    <row r="270" spans="1:9">
      <c r="A270" s="32"/>
      <c r="B270" s="210"/>
      <c r="C270" s="210"/>
      <c r="D270" s="210"/>
      <c r="E270" s="210"/>
      <c r="F270" s="210"/>
      <c r="G270" s="210"/>
      <c r="H270" s="210"/>
      <c r="I270" s="210"/>
    </row>
    <row r="271" spans="1:9">
      <c r="A271" s="32"/>
      <c r="B271" s="210"/>
      <c r="C271" s="210"/>
      <c r="D271" s="210"/>
      <c r="E271" s="210"/>
      <c r="F271" s="210"/>
      <c r="G271" s="210"/>
      <c r="H271" s="210"/>
      <c r="I271" s="210"/>
    </row>
    <row r="272" spans="1:9">
      <c r="A272" s="32"/>
      <c r="B272" s="210"/>
      <c r="C272" s="210"/>
      <c r="D272" s="210"/>
      <c r="E272" s="210"/>
      <c r="F272" s="210"/>
      <c r="G272" s="210"/>
      <c r="H272" s="210"/>
      <c r="I272" s="210"/>
    </row>
    <row r="273" spans="1:9">
      <c r="A273" s="32"/>
      <c r="B273" s="210"/>
      <c r="C273" s="210"/>
      <c r="D273" s="210"/>
      <c r="E273" s="210"/>
      <c r="F273" s="210"/>
      <c r="G273" s="210"/>
      <c r="H273" s="210"/>
      <c r="I273" s="210"/>
    </row>
    <row r="274" spans="1:9">
      <c r="A274" s="32"/>
      <c r="B274" s="210"/>
      <c r="C274" s="210"/>
      <c r="D274" s="210"/>
      <c r="E274" s="210"/>
      <c r="F274" s="210"/>
      <c r="G274" s="210"/>
      <c r="H274" s="210"/>
      <c r="I274" s="210"/>
    </row>
    <row r="275" spans="1:9">
      <c r="A275" s="32"/>
      <c r="B275" s="210"/>
      <c r="C275" s="210"/>
      <c r="D275" s="210"/>
      <c r="E275" s="210"/>
      <c r="F275" s="210"/>
      <c r="G275" s="210"/>
      <c r="H275" s="210"/>
      <c r="I275" s="210"/>
    </row>
    <row r="276" spans="1:9">
      <c r="A276" s="32"/>
      <c r="B276" s="210"/>
      <c r="C276" s="210"/>
      <c r="D276" s="210"/>
      <c r="E276" s="210"/>
      <c r="F276" s="210"/>
      <c r="G276" s="210"/>
      <c r="H276" s="210"/>
      <c r="I276" s="210"/>
    </row>
    <row r="277" spans="1:9">
      <c r="A277" s="32"/>
      <c r="B277" s="210"/>
      <c r="C277" s="210"/>
      <c r="D277" s="210"/>
      <c r="E277" s="210"/>
      <c r="F277" s="210"/>
      <c r="G277" s="210"/>
      <c r="H277" s="210"/>
      <c r="I277" s="210"/>
    </row>
    <row r="278" spans="1:9">
      <c r="A278" s="32"/>
      <c r="B278" s="210"/>
      <c r="C278" s="210"/>
      <c r="D278" s="210"/>
      <c r="E278" s="210"/>
      <c r="F278" s="210"/>
      <c r="G278" s="210"/>
      <c r="H278" s="210"/>
      <c r="I278" s="210"/>
    </row>
    <row r="279" spans="1:9">
      <c r="A279" s="32"/>
      <c r="B279" s="210"/>
      <c r="C279" s="210"/>
      <c r="D279" s="210"/>
      <c r="E279" s="210"/>
      <c r="F279" s="210"/>
      <c r="G279" s="210"/>
      <c r="H279" s="210"/>
      <c r="I279" s="210"/>
    </row>
    <row r="280" spans="1:9">
      <c r="A280" s="32"/>
      <c r="B280" s="210"/>
      <c r="C280" s="210"/>
      <c r="D280" s="210"/>
      <c r="E280" s="210"/>
      <c r="F280" s="210"/>
      <c r="G280" s="210"/>
      <c r="H280" s="210"/>
      <c r="I280" s="210"/>
    </row>
    <row r="281" spans="1:9">
      <c r="A281" s="32"/>
      <c r="B281" s="210"/>
      <c r="C281" s="210"/>
      <c r="D281" s="210"/>
      <c r="E281" s="210"/>
      <c r="F281" s="210"/>
      <c r="G281" s="210"/>
      <c r="H281" s="210"/>
      <c r="I281" s="210"/>
    </row>
    <row r="282" spans="1:9">
      <c r="A282" s="32"/>
      <c r="B282" s="210"/>
      <c r="C282" s="210"/>
      <c r="D282" s="210"/>
      <c r="E282" s="210"/>
      <c r="F282" s="210"/>
      <c r="G282" s="210"/>
      <c r="H282" s="210"/>
      <c r="I282" s="210"/>
    </row>
    <row r="283" spans="1:9">
      <c r="A283" s="32"/>
      <c r="B283" s="210"/>
      <c r="C283" s="210"/>
      <c r="D283" s="210"/>
      <c r="E283" s="210"/>
      <c r="F283" s="210"/>
      <c r="G283" s="210"/>
      <c r="H283" s="210"/>
      <c r="I283" s="210"/>
    </row>
    <row r="284" spans="1:9">
      <c r="A284" s="32"/>
      <c r="B284" s="210"/>
      <c r="C284" s="210"/>
      <c r="D284" s="210"/>
      <c r="E284" s="210"/>
      <c r="F284" s="210"/>
      <c r="G284" s="210"/>
      <c r="H284" s="210"/>
      <c r="I284" s="210"/>
    </row>
    <row r="285" spans="1:9">
      <c r="A285" s="32"/>
      <c r="B285" s="210"/>
      <c r="C285" s="210"/>
      <c r="D285" s="210"/>
      <c r="E285" s="210"/>
      <c r="F285" s="210"/>
      <c r="G285" s="210"/>
      <c r="H285" s="210"/>
      <c r="I285" s="210"/>
    </row>
    <row r="286" spans="1:9">
      <c r="A286" s="32"/>
      <c r="B286" s="210"/>
      <c r="C286" s="210"/>
      <c r="D286" s="210"/>
      <c r="E286" s="210"/>
      <c r="F286" s="210"/>
      <c r="G286" s="210"/>
      <c r="H286" s="210"/>
      <c r="I286" s="210"/>
    </row>
    <row r="287" spans="1:9">
      <c r="A287" s="32"/>
      <c r="B287" s="210"/>
      <c r="C287" s="210"/>
      <c r="D287" s="210"/>
      <c r="E287" s="210"/>
      <c r="F287" s="210"/>
      <c r="G287" s="210"/>
      <c r="H287" s="210"/>
      <c r="I287" s="210"/>
    </row>
    <row r="288" spans="1:9">
      <c r="A288" s="32"/>
      <c r="B288" s="210"/>
      <c r="C288" s="210"/>
      <c r="D288" s="210"/>
      <c r="E288" s="210"/>
      <c r="F288" s="210"/>
      <c r="G288" s="210"/>
      <c r="H288" s="210"/>
      <c r="I288" s="210"/>
    </row>
    <row r="289" spans="1:9">
      <c r="A289" s="32"/>
      <c r="B289" s="210"/>
      <c r="C289" s="210"/>
      <c r="D289" s="210"/>
      <c r="E289" s="210"/>
      <c r="F289" s="210"/>
      <c r="G289" s="210"/>
      <c r="H289" s="210"/>
      <c r="I289" s="210"/>
    </row>
    <row r="290" spans="1:9">
      <c r="A290" s="32"/>
      <c r="B290" s="210"/>
      <c r="C290" s="210"/>
      <c r="D290" s="210"/>
      <c r="E290" s="210"/>
      <c r="F290" s="210"/>
      <c r="G290" s="210"/>
      <c r="H290" s="210"/>
      <c r="I290" s="210"/>
    </row>
    <row r="291" spans="1:9">
      <c r="A291" s="32"/>
      <c r="B291" s="210"/>
      <c r="C291" s="210"/>
      <c r="D291" s="210"/>
      <c r="E291" s="210"/>
      <c r="F291" s="210"/>
      <c r="G291" s="210"/>
      <c r="H291" s="210"/>
      <c r="I291" s="210"/>
    </row>
    <row r="292" spans="1:9">
      <c r="A292" s="32"/>
      <c r="B292" s="210"/>
      <c r="C292" s="210"/>
      <c r="D292" s="210"/>
      <c r="E292" s="210"/>
      <c r="F292" s="210"/>
      <c r="G292" s="210"/>
      <c r="H292" s="210"/>
      <c r="I292" s="210"/>
    </row>
    <row r="293" spans="1:9">
      <c r="A293" s="32"/>
      <c r="B293" s="210"/>
      <c r="C293" s="210"/>
      <c r="D293" s="210"/>
      <c r="E293" s="210"/>
      <c r="F293" s="210"/>
      <c r="G293" s="210"/>
      <c r="H293" s="210"/>
      <c r="I293" s="210"/>
    </row>
    <row r="294" spans="1:9">
      <c r="A294" s="32"/>
      <c r="B294" s="210"/>
      <c r="C294" s="210"/>
      <c r="D294" s="210"/>
      <c r="E294" s="210"/>
      <c r="F294" s="210"/>
      <c r="G294" s="210"/>
      <c r="H294" s="210"/>
      <c r="I294" s="210"/>
    </row>
    <row r="295" spans="1:9">
      <c r="A295" s="32"/>
      <c r="B295" s="210"/>
      <c r="C295" s="210"/>
      <c r="D295" s="210"/>
      <c r="E295" s="210"/>
      <c r="F295" s="210"/>
      <c r="G295" s="210"/>
      <c r="H295" s="210"/>
      <c r="I295" s="210"/>
    </row>
    <row r="296" spans="1:9">
      <c r="A296" s="32"/>
      <c r="B296" s="210"/>
      <c r="C296" s="210"/>
      <c r="D296" s="210"/>
      <c r="E296" s="210"/>
      <c r="F296" s="210"/>
      <c r="G296" s="210"/>
      <c r="H296" s="210"/>
      <c r="I296" s="210"/>
    </row>
    <row r="297" spans="1:9">
      <c r="A297" s="32"/>
      <c r="B297" s="210"/>
      <c r="C297" s="210"/>
      <c r="D297" s="210"/>
      <c r="E297" s="210"/>
      <c r="F297" s="210"/>
      <c r="G297" s="210"/>
      <c r="H297" s="210"/>
      <c r="I297" s="210"/>
    </row>
    <row r="298" spans="1:9">
      <c r="A298" s="32"/>
      <c r="B298" s="210"/>
      <c r="C298" s="210"/>
      <c r="D298" s="210"/>
      <c r="E298" s="210"/>
      <c r="F298" s="210"/>
      <c r="G298" s="210"/>
      <c r="H298" s="210"/>
      <c r="I298" s="210"/>
    </row>
    <row r="299" spans="1:9">
      <c r="A299" s="32"/>
      <c r="B299" s="210"/>
      <c r="C299" s="210"/>
      <c r="D299" s="210"/>
      <c r="E299" s="210"/>
      <c r="F299" s="210"/>
      <c r="G299" s="210"/>
      <c r="H299" s="210"/>
      <c r="I299" s="210"/>
    </row>
    <row r="300" spans="1:9">
      <c r="A300" s="32"/>
      <c r="B300" s="210"/>
      <c r="C300" s="210"/>
      <c r="D300" s="210"/>
      <c r="E300" s="210"/>
      <c r="F300" s="210"/>
      <c r="G300" s="210"/>
      <c r="H300" s="210"/>
      <c r="I300" s="210"/>
    </row>
    <row r="301" spans="1:9">
      <c r="A301" s="32"/>
      <c r="B301" s="210"/>
      <c r="C301" s="210"/>
      <c r="D301" s="210"/>
      <c r="E301" s="210"/>
      <c r="F301" s="210"/>
      <c r="G301" s="210"/>
      <c r="H301" s="210"/>
      <c r="I301" s="210"/>
    </row>
    <row r="302" spans="1:9">
      <c r="A302" s="32"/>
      <c r="B302" s="210"/>
      <c r="C302" s="210"/>
      <c r="D302" s="210"/>
      <c r="E302" s="210"/>
      <c r="F302" s="210"/>
      <c r="G302" s="210"/>
      <c r="H302" s="210"/>
      <c r="I302" s="210"/>
    </row>
    <row r="303" spans="1:9">
      <c r="A303" s="32"/>
      <c r="B303" s="210"/>
      <c r="C303" s="210"/>
      <c r="D303" s="210"/>
      <c r="E303" s="210"/>
      <c r="F303" s="210"/>
      <c r="G303" s="210"/>
      <c r="H303" s="210"/>
      <c r="I303" s="210"/>
    </row>
    <row r="304" spans="1:9">
      <c r="A304" s="32"/>
      <c r="B304" s="210"/>
      <c r="C304" s="210"/>
      <c r="D304" s="210"/>
      <c r="E304" s="210"/>
      <c r="F304" s="210"/>
      <c r="G304" s="210"/>
      <c r="H304" s="210"/>
      <c r="I304" s="210"/>
    </row>
    <row r="305" spans="1:9">
      <c r="A305" s="32"/>
      <c r="B305" s="210"/>
      <c r="C305" s="210"/>
      <c r="D305" s="210"/>
      <c r="E305" s="210"/>
      <c r="F305" s="210"/>
      <c r="G305" s="210"/>
      <c r="H305" s="210"/>
      <c r="I305" s="210"/>
    </row>
    <row r="306" spans="1:9">
      <c r="A306" s="32"/>
      <c r="B306" s="210"/>
      <c r="C306" s="210"/>
      <c r="D306" s="210"/>
      <c r="E306" s="210"/>
      <c r="F306" s="210"/>
      <c r="G306" s="210"/>
      <c r="H306" s="210"/>
      <c r="I306" s="210"/>
    </row>
    <row r="307" spans="1:9">
      <c r="A307" s="32"/>
      <c r="B307" s="210"/>
      <c r="C307" s="210"/>
      <c r="D307" s="210"/>
      <c r="E307" s="210"/>
      <c r="F307" s="210"/>
      <c r="G307" s="210"/>
      <c r="H307" s="210"/>
      <c r="I307" s="210"/>
    </row>
    <row r="308" spans="1:9">
      <c r="A308" s="32"/>
      <c r="B308" s="210"/>
      <c r="C308" s="210"/>
      <c r="D308" s="210"/>
      <c r="E308" s="210"/>
      <c r="F308" s="210"/>
      <c r="G308" s="210"/>
      <c r="H308" s="210"/>
      <c r="I308" s="210"/>
    </row>
    <row r="309" spans="1:9">
      <c r="A309" s="32"/>
      <c r="B309" s="210"/>
      <c r="C309" s="210"/>
      <c r="D309" s="210"/>
      <c r="E309" s="210"/>
      <c r="F309" s="210"/>
      <c r="G309" s="210"/>
      <c r="H309" s="210"/>
      <c r="I309" s="210"/>
    </row>
    <row r="310" spans="1:9">
      <c r="A310" s="32"/>
      <c r="B310" s="210"/>
      <c r="C310" s="210"/>
      <c r="D310" s="210"/>
      <c r="E310" s="210"/>
      <c r="F310" s="210"/>
      <c r="G310" s="210"/>
      <c r="H310" s="210"/>
      <c r="I310" s="210"/>
    </row>
    <row r="311" spans="1:9">
      <c r="A311" s="32"/>
      <c r="B311" s="210"/>
      <c r="C311" s="210"/>
      <c r="D311" s="210"/>
      <c r="E311" s="210"/>
      <c r="F311" s="210"/>
      <c r="G311" s="210"/>
      <c r="H311" s="210"/>
      <c r="I311" s="210"/>
    </row>
    <row r="312" spans="1:9">
      <c r="A312" s="32"/>
      <c r="B312" s="210"/>
      <c r="C312" s="210"/>
      <c r="D312" s="210"/>
      <c r="E312" s="210"/>
      <c r="F312" s="210"/>
      <c r="G312" s="210"/>
      <c r="H312" s="210"/>
      <c r="I312" s="210"/>
    </row>
    <row r="313" spans="1:9">
      <c r="A313" s="32"/>
      <c r="B313" s="210"/>
      <c r="C313" s="210"/>
      <c r="D313" s="210"/>
      <c r="E313" s="210"/>
      <c r="F313" s="210"/>
      <c r="G313" s="210"/>
      <c r="H313" s="210"/>
      <c r="I313" s="210"/>
    </row>
    <row r="314" spans="1:9">
      <c r="A314" s="32"/>
      <c r="B314" s="210"/>
      <c r="C314" s="210"/>
      <c r="D314" s="210"/>
      <c r="E314" s="210"/>
      <c r="F314" s="210"/>
      <c r="G314" s="210"/>
      <c r="H314" s="210"/>
      <c r="I314" s="210"/>
    </row>
    <row r="315" spans="1:9">
      <c r="A315" s="32"/>
      <c r="B315" s="210"/>
      <c r="C315" s="210"/>
      <c r="D315" s="210"/>
      <c r="E315" s="210"/>
      <c r="F315" s="210"/>
      <c r="G315" s="210"/>
      <c r="H315" s="210"/>
      <c r="I315" s="210"/>
    </row>
    <row r="316" spans="1:9">
      <c r="A316" s="32"/>
      <c r="B316" s="210"/>
      <c r="C316" s="210"/>
      <c r="D316" s="210"/>
      <c r="E316" s="210"/>
      <c r="F316" s="210"/>
      <c r="G316" s="210"/>
      <c r="H316" s="210"/>
      <c r="I316" s="210"/>
    </row>
    <row r="317" spans="1:9">
      <c r="A317" s="32"/>
      <c r="B317" s="210"/>
      <c r="C317" s="210"/>
      <c r="D317" s="210"/>
      <c r="E317" s="210"/>
      <c r="F317" s="210"/>
      <c r="G317" s="210"/>
      <c r="H317" s="210"/>
      <c r="I317" s="210"/>
    </row>
    <row r="318" spans="1:9">
      <c r="A318" s="32"/>
      <c r="B318" s="210"/>
      <c r="C318" s="210"/>
      <c r="D318" s="210"/>
      <c r="E318" s="210"/>
      <c r="F318" s="210"/>
      <c r="G318" s="210"/>
      <c r="H318" s="210"/>
      <c r="I318" s="210"/>
    </row>
    <row r="319" spans="1:9">
      <c r="A319" s="32"/>
      <c r="B319" s="210"/>
      <c r="C319" s="210"/>
      <c r="D319" s="210"/>
      <c r="E319" s="210"/>
      <c r="F319" s="210"/>
      <c r="G319" s="210"/>
      <c r="H319" s="210"/>
      <c r="I319" s="210"/>
    </row>
    <row r="320" spans="1:9">
      <c r="A320" s="32"/>
      <c r="B320" s="210"/>
      <c r="C320" s="210"/>
      <c r="D320" s="210"/>
      <c r="E320" s="210"/>
      <c r="F320" s="210"/>
      <c r="G320" s="210"/>
      <c r="H320" s="210"/>
      <c r="I320" s="210"/>
    </row>
    <row r="321" spans="1:9">
      <c r="A321" s="32"/>
      <c r="B321" s="210"/>
      <c r="C321" s="210"/>
      <c r="D321" s="210"/>
      <c r="E321" s="210"/>
      <c r="F321" s="210"/>
      <c r="G321" s="210"/>
      <c r="H321" s="210"/>
      <c r="I321" s="210"/>
    </row>
    <row r="322" spans="1:9">
      <c r="A322" s="32"/>
      <c r="B322" s="210"/>
      <c r="C322" s="210"/>
      <c r="D322" s="210"/>
      <c r="E322" s="210"/>
      <c r="F322" s="210"/>
      <c r="G322" s="210"/>
      <c r="H322" s="210"/>
      <c r="I322" s="210"/>
    </row>
    <row r="323" spans="1:9">
      <c r="A323" s="32"/>
      <c r="B323" s="210"/>
      <c r="C323" s="210"/>
      <c r="D323" s="210"/>
      <c r="E323" s="210"/>
      <c r="F323" s="210"/>
      <c r="G323" s="210"/>
      <c r="H323" s="210"/>
      <c r="I323" s="210"/>
    </row>
    <row r="324" spans="1:9">
      <c r="A324" s="32"/>
      <c r="B324" s="210"/>
      <c r="C324" s="210"/>
      <c r="D324" s="210"/>
      <c r="E324" s="210"/>
      <c r="F324" s="210"/>
      <c r="G324" s="210"/>
      <c r="H324" s="210"/>
      <c r="I324" s="210"/>
    </row>
    <row r="325" spans="1:9">
      <c r="A325" s="32"/>
      <c r="B325" s="210"/>
      <c r="C325" s="210"/>
      <c r="D325" s="210"/>
      <c r="E325" s="210"/>
      <c r="F325" s="210"/>
      <c r="G325" s="210"/>
      <c r="H325" s="210"/>
      <c r="I325" s="210"/>
    </row>
    <row r="326" spans="1:9">
      <c r="A326" s="32"/>
      <c r="B326" s="210"/>
      <c r="C326" s="210"/>
      <c r="D326" s="210"/>
      <c r="E326" s="210"/>
      <c r="F326" s="210"/>
      <c r="G326" s="210"/>
      <c r="H326" s="210"/>
      <c r="I326" s="210"/>
    </row>
    <row r="327" spans="1:9">
      <c r="A327" s="32"/>
      <c r="B327" s="210"/>
      <c r="C327" s="210"/>
      <c r="D327" s="210"/>
      <c r="E327" s="210"/>
      <c r="F327" s="210"/>
      <c r="G327" s="210"/>
      <c r="H327" s="210"/>
      <c r="I327" s="210"/>
    </row>
    <row r="328" spans="1:9">
      <c r="A328" s="32"/>
      <c r="B328" s="210"/>
      <c r="C328" s="210"/>
      <c r="D328" s="210"/>
      <c r="E328" s="210"/>
      <c r="F328" s="210"/>
      <c r="G328" s="210"/>
      <c r="H328" s="210"/>
      <c r="I328" s="210"/>
    </row>
    <row r="329" spans="1:9">
      <c r="A329" s="32"/>
      <c r="B329" s="210"/>
      <c r="C329" s="210"/>
      <c r="D329" s="210"/>
      <c r="E329" s="210"/>
      <c r="F329" s="210"/>
      <c r="G329" s="210"/>
      <c r="H329" s="210"/>
      <c r="I329" s="210"/>
    </row>
    <row r="330" spans="1:9">
      <c r="A330" s="32"/>
      <c r="B330" s="210"/>
      <c r="C330" s="210"/>
      <c r="D330" s="210"/>
      <c r="E330" s="210"/>
      <c r="F330" s="210"/>
      <c r="G330" s="210"/>
      <c r="H330" s="210"/>
      <c r="I330" s="210"/>
    </row>
    <row r="331" spans="1:9">
      <c r="A331" s="32"/>
      <c r="B331" s="210"/>
      <c r="C331" s="210"/>
      <c r="D331" s="210"/>
      <c r="E331" s="210"/>
      <c r="F331" s="210"/>
      <c r="G331" s="210"/>
      <c r="H331" s="210"/>
      <c r="I331" s="210"/>
    </row>
    <row r="332" spans="1:9">
      <c r="A332" s="32"/>
      <c r="B332" s="210"/>
      <c r="C332" s="210"/>
      <c r="D332" s="210"/>
      <c r="E332" s="210"/>
      <c r="F332" s="210"/>
      <c r="G332" s="210"/>
      <c r="H332" s="210"/>
      <c r="I332" s="210"/>
    </row>
    <row r="333" spans="1:9">
      <c r="A333" s="32"/>
      <c r="B333" s="210"/>
      <c r="C333" s="210"/>
      <c r="D333" s="210"/>
      <c r="E333" s="210"/>
      <c r="F333" s="210"/>
      <c r="G333" s="210"/>
      <c r="H333" s="210"/>
      <c r="I333" s="210"/>
    </row>
    <row r="334" spans="1:9">
      <c r="A334" s="32"/>
      <c r="B334" s="210"/>
      <c r="C334" s="210"/>
      <c r="D334" s="210"/>
      <c r="E334" s="210"/>
      <c r="F334" s="210"/>
      <c r="G334" s="210"/>
      <c r="H334" s="210"/>
      <c r="I334" s="210"/>
    </row>
    <row r="335" spans="1:9">
      <c r="A335" s="32"/>
      <c r="B335" s="210"/>
      <c r="C335" s="210"/>
      <c r="D335" s="210"/>
      <c r="E335" s="210"/>
      <c r="F335" s="210"/>
      <c r="G335" s="210"/>
      <c r="H335" s="210"/>
      <c r="I335" s="210"/>
    </row>
    <row r="336" spans="1:9">
      <c r="A336" s="32"/>
      <c r="B336" s="210"/>
      <c r="C336" s="210"/>
      <c r="D336" s="210"/>
      <c r="E336" s="210"/>
      <c r="F336" s="210"/>
      <c r="G336" s="210"/>
      <c r="H336" s="210"/>
      <c r="I336" s="210"/>
    </row>
    <row r="337" spans="1:9">
      <c r="A337" s="32"/>
      <c r="B337" s="210"/>
      <c r="C337" s="210"/>
      <c r="D337" s="210"/>
      <c r="E337" s="210"/>
      <c r="F337" s="210"/>
      <c r="G337" s="210"/>
      <c r="H337" s="210"/>
      <c r="I337" s="210"/>
    </row>
    <row r="338" spans="1:9">
      <c r="A338" s="32"/>
      <c r="B338" s="210"/>
      <c r="C338" s="210"/>
      <c r="D338" s="210"/>
      <c r="E338" s="210"/>
      <c r="F338" s="210"/>
      <c r="G338" s="210"/>
      <c r="H338" s="210"/>
      <c r="I338" s="210"/>
    </row>
    <row r="339" spans="1:9">
      <c r="A339" s="32"/>
      <c r="B339" s="210"/>
      <c r="C339" s="210"/>
      <c r="D339" s="210"/>
      <c r="E339" s="210"/>
      <c r="F339" s="210"/>
      <c r="G339" s="210"/>
      <c r="H339" s="210"/>
      <c r="I339" s="210"/>
    </row>
    <row r="340" spans="1:9">
      <c r="A340" s="32"/>
      <c r="B340" s="210"/>
      <c r="C340" s="210"/>
      <c r="D340" s="210"/>
      <c r="E340" s="210"/>
      <c r="F340" s="210"/>
      <c r="G340" s="210"/>
      <c r="H340" s="210"/>
      <c r="I340" s="210"/>
    </row>
    <row r="341" spans="1:9">
      <c r="A341" s="32"/>
      <c r="B341" s="210"/>
      <c r="C341" s="210"/>
      <c r="D341" s="210"/>
      <c r="E341" s="210"/>
      <c r="F341" s="210"/>
      <c r="G341" s="210"/>
      <c r="H341" s="210"/>
      <c r="I341" s="210"/>
    </row>
    <row r="342" spans="1:9">
      <c r="A342" s="32"/>
      <c r="B342" s="210"/>
      <c r="C342" s="210"/>
      <c r="D342" s="210"/>
      <c r="E342" s="210"/>
      <c r="F342" s="210"/>
      <c r="G342" s="210"/>
      <c r="H342" s="210"/>
      <c r="I342" s="210"/>
    </row>
  </sheetData>
  <mergeCells count="119">
    <mergeCell ref="A4:I4"/>
    <mergeCell ref="A26:N26"/>
    <mergeCell ref="I27:N27"/>
    <mergeCell ref="B6:G6"/>
    <mergeCell ref="B7:G7"/>
    <mergeCell ref="B9:G9"/>
    <mergeCell ref="C13:E13"/>
    <mergeCell ref="H6:N6"/>
    <mergeCell ref="I34:N34"/>
    <mergeCell ref="H7:N7"/>
    <mergeCell ref="H9:N9"/>
    <mergeCell ref="F13:H13"/>
    <mergeCell ref="I13:K13"/>
    <mergeCell ref="L13:N13"/>
    <mergeCell ref="A13:B14"/>
    <mergeCell ref="A11:I11"/>
    <mergeCell ref="C117:D117"/>
    <mergeCell ref="C116:D116"/>
    <mergeCell ref="F117:H117"/>
    <mergeCell ref="I30:N30"/>
    <mergeCell ref="I31:N31"/>
    <mergeCell ref="I32:N32"/>
    <mergeCell ref="I33:N33"/>
    <mergeCell ref="B8:G8"/>
    <mergeCell ref="H8:N8"/>
    <mergeCell ref="I36:N36"/>
    <mergeCell ref="I37:N37"/>
    <mergeCell ref="I45:N45"/>
    <mergeCell ref="I46:N46"/>
    <mergeCell ref="I39:N39"/>
    <mergeCell ref="I40:N40"/>
    <mergeCell ref="I41:N41"/>
    <mergeCell ref="I42:N42"/>
    <mergeCell ref="I43:N43"/>
    <mergeCell ref="I66:N66"/>
    <mergeCell ref="I56:N56"/>
    <mergeCell ref="I57:N57"/>
    <mergeCell ref="I58:N58"/>
    <mergeCell ref="I54:N54"/>
    <mergeCell ref="I44:N44"/>
    <mergeCell ref="I47:N47"/>
    <mergeCell ref="I48:N48"/>
    <mergeCell ref="I49:N49"/>
    <mergeCell ref="A15:B15"/>
    <mergeCell ref="A16:B16"/>
    <mergeCell ref="A17:B17"/>
    <mergeCell ref="A18:B18"/>
    <mergeCell ref="A19:B19"/>
    <mergeCell ref="E23:N23"/>
    <mergeCell ref="I24:N24"/>
    <mergeCell ref="I25:N25"/>
    <mergeCell ref="A23:A24"/>
    <mergeCell ref="B23:B24"/>
    <mergeCell ref="C23:D23"/>
    <mergeCell ref="A21:I21"/>
    <mergeCell ref="I28:N28"/>
    <mergeCell ref="I29:N29"/>
    <mergeCell ref="I38:N38"/>
    <mergeCell ref="I35:N35"/>
    <mergeCell ref="I95:N95"/>
    <mergeCell ref="I85:N85"/>
    <mergeCell ref="I92:N92"/>
    <mergeCell ref="I93:N93"/>
    <mergeCell ref="I94:N94"/>
    <mergeCell ref="I50:N50"/>
    <mergeCell ref="I51:N51"/>
    <mergeCell ref="I52:N52"/>
    <mergeCell ref="I53:N53"/>
    <mergeCell ref="I55:N55"/>
    <mergeCell ref="I59:N59"/>
    <mergeCell ref="I84:N84"/>
    <mergeCell ref="I60:N60"/>
    <mergeCell ref="I61:N61"/>
    <mergeCell ref="I68:N68"/>
    <mergeCell ref="I69:N69"/>
    <mergeCell ref="I70:N70"/>
    <mergeCell ref="I62:N62"/>
    <mergeCell ref="I63:N63"/>
    <mergeCell ref="I64:N64"/>
    <mergeCell ref="I65:N65"/>
    <mergeCell ref="I83:N83"/>
    <mergeCell ref="I80:N80"/>
    <mergeCell ref="I81:N81"/>
    <mergeCell ref="I71:N71"/>
    <mergeCell ref="I72:N72"/>
    <mergeCell ref="I73:N73"/>
    <mergeCell ref="I86:N86"/>
    <mergeCell ref="I87:N87"/>
    <mergeCell ref="I88:N88"/>
    <mergeCell ref="I89:N89"/>
    <mergeCell ref="I90:N90"/>
    <mergeCell ref="I91:N91"/>
    <mergeCell ref="I82:N82"/>
    <mergeCell ref="I78:N78"/>
    <mergeCell ref="I79:N79"/>
    <mergeCell ref="A2:N2"/>
    <mergeCell ref="A1:N1"/>
    <mergeCell ref="I110:N110"/>
    <mergeCell ref="I112:N112"/>
    <mergeCell ref="I111:N111"/>
    <mergeCell ref="I104:N104"/>
    <mergeCell ref="I105:N105"/>
    <mergeCell ref="I106:N106"/>
    <mergeCell ref="I107:N107"/>
    <mergeCell ref="I109:N109"/>
    <mergeCell ref="I108:N108"/>
    <mergeCell ref="I103:N103"/>
    <mergeCell ref="I98:N98"/>
    <mergeCell ref="I99:N99"/>
    <mergeCell ref="I100:N100"/>
    <mergeCell ref="I101:N101"/>
    <mergeCell ref="I96:N96"/>
    <mergeCell ref="I102:N102"/>
    <mergeCell ref="I97:N97"/>
    <mergeCell ref="I67:N67"/>
    <mergeCell ref="I74:N74"/>
    <mergeCell ref="I75:N75"/>
    <mergeCell ref="I76:N76"/>
    <mergeCell ref="I77:N77"/>
  </mergeCells>
  <phoneticPr fontId="0" type="noConversion"/>
  <pageMargins left="1.1811023622047245" right="0.39370078740157483" top="0.78740157480314965" bottom="0.78740157480314965" header="0.19685039370078741" footer="0.11811023622047245"/>
  <pageSetup paperSize="9" scale="43" orientation="landscape" r:id="rId1"/>
  <headerFooter alignWithMargins="0">
    <oddHeader>&amp;R&amp;"Times New Roman,звичайний"&amp;14Продовження додатка  3
Таблиця 1</oddHeader>
  </headerFooter>
  <rowBreaks count="2" manualBreakCount="2">
    <brk id="45" max="13" man="1"/>
    <brk id="9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200"/>
  <sheetViews>
    <sheetView topLeftCell="A13" zoomScale="60" zoomScaleNormal="60" zoomScaleSheetLayoutView="75" workbookViewId="0">
      <selection activeCell="C46" sqref="C46"/>
    </sheetView>
  </sheetViews>
  <sheetFormatPr defaultRowHeight="18.75"/>
  <cols>
    <col min="1" max="1" width="100.5703125" style="26" customWidth="1"/>
    <col min="2" max="2" width="15.28515625" style="29" customWidth="1"/>
    <col min="3" max="8" width="17.140625" style="29" customWidth="1"/>
    <col min="9" max="9" width="10" style="26" customWidth="1"/>
    <col min="10" max="10" width="9.5703125" style="26" customWidth="1"/>
    <col min="11" max="11" width="15.140625" style="26" customWidth="1"/>
    <col min="12" max="12" width="13.85546875" style="26" customWidth="1"/>
    <col min="13" max="16384" width="9.140625" style="26"/>
  </cols>
  <sheetData>
    <row r="1" spans="1:8">
      <c r="A1" s="303" t="s">
        <v>225</v>
      </c>
      <c r="B1" s="303"/>
      <c r="C1" s="303"/>
      <c r="D1" s="303"/>
      <c r="E1" s="303"/>
      <c r="F1" s="303"/>
      <c r="G1" s="303"/>
      <c r="H1" s="303"/>
    </row>
    <row r="2" spans="1:8">
      <c r="A2" s="303"/>
      <c r="B2" s="303"/>
      <c r="C2" s="303"/>
      <c r="D2" s="303"/>
      <c r="E2" s="303"/>
      <c r="F2" s="303"/>
      <c r="G2" s="303"/>
      <c r="H2" s="303"/>
    </row>
    <row r="3" spans="1:8" ht="66.75" customHeight="1">
      <c r="A3" s="301" t="s">
        <v>24</v>
      </c>
      <c r="B3" s="302" t="s">
        <v>25</v>
      </c>
      <c r="C3" s="279" t="s">
        <v>144</v>
      </c>
      <c r="D3" s="279"/>
      <c r="E3" s="301" t="s">
        <v>27</v>
      </c>
      <c r="F3" s="301"/>
      <c r="G3" s="301"/>
      <c r="H3" s="301"/>
    </row>
    <row r="4" spans="1:8" ht="39" customHeight="1">
      <c r="A4" s="301"/>
      <c r="B4" s="302"/>
      <c r="C4" s="186" t="s">
        <v>28</v>
      </c>
      <c r="D4" s="186" t="s">
        <v>29</v>
      </c>
      <c r="E4" s="186" t="s">
        <v>30</v>
      </c>
      <c r="F4" s="186" t="s">
        <v>31</v>
      </c>
      <c r="G4" s="207" t="s">
        <v>32</v>
      </c>
      <c r="H4" s="207" t="s">
        <v>148</v>
      </c>
    </row>
    <row r="5" spans="1:8">
      <c r="A5" s="200">
        <v>1</v>
      </c>
      <c r="B5" s="199">
        <v>2</v>
      </c>
      <c r="C5" s="200">
        <v>3</v>
      </c>
      <c r="D5" s="199">
        <v>4</v>
      </c>
      <c r="E5" s="200">
        <v>5</v>
      </c>
      <c r="F5" s="199">
        <v>6</v>
      </c>
      <c r="G5" s="200">
        <v>7</v>
      </c>
      <c r="H5" s="199">
        <v>8</v>
      </c>
    </row>
    <row r="6" spans="1:8" ht="22.5" customHeight="1">
      <c r="A6" s="304" t="s">
        <v>226</v>
      </c>
      <c r="B6" s="305"/>
      <c r="C6" s="305"/>
      <c r="D6" s="305"/>
      <c r="E6" s="305"/>
      <c r="F6" s="305"/>
      <c r="G6" s="305"/>
      <c r="H6" s="306"/>
    </row>
    <row r="7" spans="1:8" ht="22.5" customHeight="1">
      <c r="A7" s="42" t="s">
        <v>39</v>
      </c>
      <c r="B7" s="95">
        <v>1200</v>
      </c>
      <c r="C7" s="239">
        <f>'І. Інф. до звіт.'!C97</f>
        <v>555.49999999999943</v>
      </c>
      <c r="D7" s="239">
        <f>'І. Інф. до звіт.'!D97</f>
        <v>1625.1999999999991</v>
      </c>
      <c r="E7" s="96">
        <f>'І. Інф. до звіт.'!E97</f>
        <v>50</v>
      </c>
      <c r="F7" s="239">
        <f>'І. Інф. до звіт.'!F97</f>
        <v>1246.1999999999998</v>
      </c>
      <c r="G7" s="93">
        <f>F7-E7</f>
        <v>1196.1999999999998</v>
      </c>
      <c r="H7" s="94">
        <f>(F7/E7)*100</f>
        <v>2492.3999999999996</v>
      </c>
    </row>
    <row r="8" spans="1:8" ht="33.75" customHeight="1">
      <c r="A8" s="42" t="s">
        <v>227</v>
      </c>
      <c r="B8" s="190">
        <v>2000</v>
      </c>
      <c r="C8" s="244">
        <v>734.1</v>
      </c>
      <c r="D8" s="244">
        <v>2620.3000000000002</v>
      </c>
      <c r="E8" s="244"/>
      <c r="F8" s="244">
        <v>2999.9</v>
      </c>
      <c r="G8" s="93">
        <f>F8-E8</f>
        <v>2999.9</v>
      </c>
      <c r="H8" s="94" t="e">
        <f>(F8/E8)*100</f>
        <v>#DIV/0!</v>
      </c>
    </row>
    <row r="9" spans="1:8" ht="27" customHeight="1">
      <c r="A9" s="27" t="s">
        <v>228</v>
      </c>
      <c r="B9" s="192">
        <v>2005</v>
      </c>
      <c r="C9" s="51" t="s">
        <v>152</v>
      </c>
      <c r="D9" s="51" t="s">
        <v>152</v>
      </c>
      <c r="E9" s="51" t="s">
        <v>152</v>
      </c>
      <c r="F9" s="51" t="s">
        <v>152</v>
      </c>
      <c r="G9" s="78" t="e">
        <f>F9-E9</f>
        <v>#VALUE!</v>
      </c>
      <c r="H9" s="79" t="e">
        <f>(F9/E9)*100</f>
        <v>#VALUE!</v>
      </c>
    </row>
    <row r="10" spans="1:8" ht="34.5" customHeight="1">
      <c r="A10" s="42" t="s">
        <v>229</v>
      </c>
      <c r="B10" s="190">
        <v>2009</v>
      </c>
      <c r="C10" s="204">
        <f>SUM(C8:C9)</f>
        <v>734.1</v>
      </c>
      <c r="D10" s="204">
        <f>SUM(D8:D9)</f>
        <v>2620.3000000000002</v>
      </c>
      <c r="E10" s="204">
        <f>SUM(E8:E9)</f>
        <v>0</v>
      </c>
      <c r="F10" s="204">
        <f>SUM(F8:F9)</f>
        <v>2999.9</v>
      </c>
      <c r="G10" s="93">
        <f>F10-E10</f>
        <v>2999.9</v>
      </c>
      <c r="H10" s="94" t="e">
        <f>(F10/E10)*100</f>
        <v>#DIV/0!</v>
      </c>
    </row>
    <row r="11" spans="1:8" ht="22.5" customHeight="1">
      <c r="A11" s="27" t="s">
        <v>230</v>
      </c>
      <c r="B11" s="192">
        <v>2010</v>
      </c>
      <c r="C11" s="69">
        <f>SUM(C12:C13)</f>
        <v>0</v>
      </c>
      <c r="D11" s="69">
        <f>SUM(D12:D13)</f>
        <v>0</v>
      </c>
      <c r="E11" s="69">
        <f>SUM(E12:E13)</f>
        <v>0</v>
      </c>
      <c r="F11" s="69">
        <f>SUM(F12:F13)</f>
        <v>0</v>
      </c>
      <c r="G11" s="78">
        <f>F11-E11</f>
        <v>0</v>
      </c>
      <c r="H11" s="79" t="e">
        <f>(F11/E11)*100</f>
        <v>#DIV/0!</v>
      </c>
    </row>
    <row r="12" spans="1:8" ht="22.5" customHeight="1">
      <c r="A12" s="209" t="s">
        <v>231</v>
      </c>
      <c r="B12" s="192">
        <v>2011</v>
      </c>
      <c r="C12" s="51" t="s">
        <v>152</v>
      </c>
      <c r="D12" s="51" t="s">
        <v>152</v>
      </c>
      <c r="E12" s="51" t="s">
        <v>152</v>
      </c>
      <c r="F12" s="51" t="s">
        <v>152</v>
      </c>
      <c r="G12" s="78" t="e">
        <f t="shared" ref="G12:G21" si="0">F12-E12</f>
        <v>#VALUE!</v>
      </c>
      <c r="H12" s="79" t="e">
        <f t="shared" ref="H12:H21" si="1">(F12/E12)*100</f>
        <v>#VALUE!</v>
      </c>
    </row>
    <row r="13" spans="1:8" ht="41.25" customHeight="1">
      <c r="A13" s="209" t="s">
        <v>232</v>
      </c>
      <c r="B13" s="192">
        <v>2012</v>
      </c>
      <c r="C13" s="51" t="s">
        <v>152</v>
      </c>
      <c r="D13" s="51" t="s">
        <v>152</v>
      </c>
      <c r="E13" s="51" t="s">
        <v>152</v>
      </c>
      <c r="F13" s="51" t="s">
        <v>152</v>
      </c>
      <c r="G13" s="78" t="e">
        <f t="shared" si="0"/>
        <v>#VALUE!</v>
      </c>
      <c r="H13" s="79" t="e">
        <f t="shared" si="1"/>
        <v>#VALUE!</v>
      </c>
    </row>
    <row r="14" spans="1:8" ht="20.25" customHeight="1">
      <c r="A14" s="209" t="s">
        <v>233</v>
      </c>
      <c r="B14" s="192" t="s">
        <v>234</v>
      </c>
      <c r="C14" s="51" t="s">
        <v>152</v>
      </c>
      <c r="D14" s="51" t="s">
        <v>152</v>
      </c>
      <c r="E14" s="51" t="s">
        <v>152</v>
      </c>
      <c r="F14" s="51" t="s">
        <v>152</v>
      </c>
      <c r="G14" s="78" t="e">
        <f t="shared" si="0"/>
        <v>#VALUE!</v>
      </c>
      <c r="H14" s="79" t="e">
        <f t="shared" si="1"/>
        <v>#VALUE!</v>
      </c>
    </row>
    <row r="15" spans="1:8" ht="20.25" customHeight="1">
      <c r="A15" s="209" t="s">
        <v>235</v>
      </c>
      <c r="B15" s="192">
        <v>2020</v>
      </c>
      <c r="C15" s="51"/>
      <c r="D15" s="51"/>
      <c r="E15" s="51"/>
      <c r="F15" s="51"/>
      <c r="G15" s="78">
        <f t="shared" si="0"/>
        <v>0</v>
      </c>
      <c r="H15" s="79" t="e">
        <f t="shared" si="1"/>
        <v>#DIV/0!</v>
      </c>
    </row>
    <row r="16" spans="1:8" s="28" customFormat="1" ht="19.5" customHeight="1">
      <c r="A16" s="27" t="s">
        <v>236</v>
      </c>
      <c r="B16" s="192">
        <v>2030</v>
      </c>
      <c r="C16" s="51" t="s">
        <v>152</v>
      </c>
      <c r="D16" s="51" t="s">
        <v>152</v>
      </c>
      <c r="E16" s="51" t="s">
        <v>152</v>
      </c>
      <c r="F16" s="51" t="s">
        <v>152</v>
      </c>
      <c r="G16" s="78" t="e">
        <f t="shared" si="0"/>
        <v>#VALUE!</v>
      </c>
      <c r="H16" s="79" t="e">
        <f t="shared" si="1"/>
        <v>#VALUE!</v>
      </c>
    </row>
    <row r="17" spans="1:9" ht="20.25" customHeight="1">
      <c r="A17" s="27" t="s">
        <v>237</v>
      </c>
      <c r="B17" s="192">
        <v>2031</v>
      </c>
      <c r="C17" s="51" t="s">
        <v>152</v>
      </c>
      <c r="D17" s="51" t="s">
        <v>152</v>
      </c>
      <c r="E17" s="51" t="s">
        <v>152</v>
      </c>
      <c r="F17" s="51" t="s">
        <v>152</v>
      </c>
      <c r="G17" s="78" t="e">
        <f t="shared" si="0"/>
        <v>#VALUE!</v>
      </c>
      <c r="H17" s="79" t="e">
        <f t="shared" si="1"/>
        <v>#VALUE!</v>
      </c>
    </row>
    <row r="18" spans="1:9" ht="19.5" customHeight="1">
      <c r="A18" s="27" t="s">
        <v>238</v>
      </c>
      <c r="B18" s="192">
        <v>2040</v>
      </c>
      <c r="C18" s="51" t="s">
        <v>152</v>
      </c>
      <c r="D18" s="51" t="s">
        <v>152</v>
      </c>
      <c r="E18" s="51" t="s">
        <v>152</v>
      </c>
      <c r="F18" s="51" t="s">
        <v>152</v>
      </c>
      <c r="G18" s="78" t="e">
        <f t="shared" si="0"/>
        <v>#VALUE!</v>
      </c>
      <c r="H18" s="79" t="e">
        <f t="shared" si="1"/>
        <v>#VALUE!</v>
      </c>
    </row>
    <row r="19" spans="1:9" ht="18.75" customHeight="1">
      <c r="A19" s="27" t="s">
        <v>239</v>
      </c>
      <c r="B19" s="192">
        <v>2050</v>
      </c>
      <c r="C19" s="51" t="s">
        <v>152</v>
      </c>
      <c r="D19" s="51" t="s">
        <v>152</v>
      </c>
      <c r="E19" s="51" t="s">
        <v>152</v>
      </c>
      <c r="F19" s="51" t="s">
        <v>152</v>
      </c>
      <c r="G19" s="78" t="e">
        <f t="shared" si="0"/>
        <v>#VALUE!</v>
      </c>
      <c r="H19" s="79" t="e">
        <f t="shared" si="1"/>
        <v>#VALUE!</v>
      </c>
    </row>
    <row r="20" spans="1:9" ht="19.5" customHeight="1">
      <c r="A20" s="27" t="s">
        <v>240</v>
      </c>
      <c r="B20" s="192">
        <v>2060</v>
      </c>
      <c r="C20" s="51" t="s">
        <v>152</v>
      </c>
      <c r="D20" s="51" t="s">
        <v>152</v>
      </c>
      <c r="E20" s="51" t="s">
        <v>152</v>
      </c>
      <c r="F20" s="51" t="s">
        <v>152</v>
      </c>
      <c r="G20" s="78" t="e">
        <f t="shared" si="0"/>
        <v>#VALUE!</v>
      </c>
      <c r="H20" s="79" t="e">
        <f t="shared" si="1"/>
        <v>#VALUE!</v>
      </c>
    </row>
    <row r="21" spans="1:9" ht="41.25" customHeight="1">
      <c r="A21" s="42" t="s">
        <v>241</v>
      </c>
      <c r="B21" s="190">
        <v>2070</v>
      </c>
      <c r="C21" s="204">
        <f>SUM(C7,C10:C11,C15:C16,C18:C20)</f>
        <v>1289.5999999999995</v>
      </c>
      <c r="D21" s="204">
        <f>SUM(D7,D10:D11,D15:D16,D18:D20)</f>
        <v>4245.4999999999991</v>
      </c>
      <c r="E21" s="204">
        <f>SUM(E7,E10:E11,E15:E16,E18:E20)</f>
        <v>50</v>
      </c>
      <c r="F21" s="204">
        <f>SUM(F7,F10:F11,F15:F16,F18:F20)</f>
        <v>4246.1000000000004</v>
      </c>
      <c r="G21" s="93">
        <f t="shared" si="0"/>
        <v>4196.1000000000004</v>
      </c>
      <c r="H21" s="94">
        <f t="shared" si="1"/>
        <v>8492.2000000000007</v>
      </c>
    </row>
    <row r="22" spans="1:9" ht="22.5" customHeight="1">
      <c r="A22" s="304" t="s">
        <v>242</v>
      </c>
      <c r="B22" s="305"/>
      <c r="C22" s="305"/>
      <c r="D22" s="305"/>
      <c r="E22" s="305"/>
      <c r="F22" s="305"/>
      <c r="G22" s="305"/>
      <c r="H22" s="306"/>
    </row>
    <row r="23" spans="1:9" s="28" customFormat="1" ht="40.5" customHeight="1">
      <c r="A23" s="42" t="s">
        <v>243</v>
      </c>
      <c r="B23" s="190">
        <v>2110</v>
      </c>
      <c r="C23" s="204">
        <f>SUM(C24:C31)</f>
        <v>469.4</v>
      </c>
      <c r="D23" s="204">
        <f>SUM(D24:D31)</f>
        <v>524.6</v>
      </c>
      <c r="E23" s="204">
        <f>SUM(E24:E31)</f>
        <v>324</v>
      </c>
      <c r="F23" s="204">
        <f>SUM(F24:F31)</f>
        <v>282.5</v>
      </c>
      <c r="G23" s="56">
        <f>F23-E23</f>
        <v>-41.5</v>
      </c>
      <c r="H23" s="70">
        <f>(F23/E23)*100</f>
        <v>87.191358024691354</v>
      </c>
    </row>
    <row r="24" spans="1:9" ht="19.5" customHeight="1">
      <c r="A24" s="209" t="s">
        <v>41</v>
      </c>
      <c r="B24" s="192">
        <v>2111</v>
      </c>
      <c r="C24" s="51"/>
      <c r="D24" s="51"/>
      <c r="E24" s="51"/>
      <c r="F24" s="51"/>
      <c r="G24" s="51">
        <f t="shared" ref="G24:G46" si="2">F24-E24</f>
        <v>0</v>
      </c>
      <c r="H24" s="68" t="e">
        <f t="shared" ref="H24:H46" si="3">(F24/E24)*100</f>
        <v>#DIV/0!</v>
      </c>
    </row>
    <row r="25" spans="1:9" ht="19.5" customHeight="1">
      <c r="A25" s="209" t="s">
        <v>244</v>
      </c>
      <c r="B25" s="192">
        <v>2112</v>
      </c>
      <c r="C25" s="51"/>
      <c r="D25" s="51">
        <f>1.8+3.3</f>
        <v>5.0999999999999996</v>
      </c>
      <c r="E25" s="51"/>
      <c r="F25" s="51">
        <v>3.3</v>
      </c>
      <c r="G25" s="51">
        <f t="shared" si="2"/>
        <v>3.3</v>
      </c>
      <c r="H25" s="68" t="e">
        <f t="shared" si="3"/>
        <v>#DIV/0!</v>
      </c>
    </row>
    <row r="26" spans="1:9" s="28" customFormat="1" ht="19.5" customHeight="1">
      <c r="A26" s="27" t="s">
        <v>245</v>
      </c>
      <c r="B26" s="200">
        <v>2113</v>
      </c>
      <c r="C26" s="51" t="s">
        <v>152</v>
      </c>
      <c r="D26" s="51" t="s">
        <v>152</v>
      </c>
      <c r="E26" s="51" t="s">
        <v>152</v>
      </c>
      <c r="F26" s="51" t="s">
        <v>152</v>
      </c>
      <c r="G26" s="51" t="e">
        <f t="shared" si="2"/>
        <v>#VALUE!</v>
      </c>
      <c r="H26" s="68" t="e">
        <f t="shared" si="3"/>
        <v>#VALUE!</v>
      </c>
    </row>
    <row r="27" spans="1:9" ht="19.5" customHeight="1">
      <c r="A27" s="27" t="s">
        <v>246</v>
      </c>
      <c r="B27" s="200">
        <v>2114</v>
      </c>
      <c r="C27" s="51"/>
      <c r="D27" s="51"/>
      <c r="E27" s="51"/>
      <c r="F27" s="51"/>
      <c r="G27" s="51">
        <f t="shared" si="2"/>
        <v>0</v>
      </c>
      <c r="H27" s="68" t="e">
        <f t="shared" si="3"/>
        <v>#DIV/0!</v>
      </c>
    </row>
    <row r="28" spans="1:9" s="30" customFormat="1" ht="20.25" customHeight="1">
      <c r="A28" s="27" t="s">
        <v>247</v>
      </c>
      <c r="B28" s="200">
        <v>2115</v>
      </c>
      <c r="C28" s="51"/>
      <c r="D28" s="51"/>
      <c r="E28" s="51"/>
      <c r="F28" s="51"/>
      <c r="G28" s="51">
        <f t="shared" si="2"/>
        <v>0</v>
      </c>
      <c r="H28" s="68" t="e">
        <f t="shared" si="3"/>
        <v>#DIV/0!</v>
      </c>
      <c r="I28" s="26"/>
    </row>
    <row r="29" spans="1:9" ht="20.25" customHeight="1">
      <c r="A29" s="27" t="s">
        <v>248</v>
      </c>
      <c r="B29" s="200">
        <v>2116</v>
      </c>
      <c r="C29" s="51"/>
      <c r="D29" s="51"/>
      <c r="E29" s="51"/>
      <c r="F29" s="51"/>
      <c r="G29" s="51">
        <f t="shared" si="2"/>
        <v>0</v>
      </c>
      <c r="H29" s="68" t="e">
        <f t="shared" si="3"/>
        <v>#DIV/0!</v>
      </c>
    </row>
    <row r="30" spans="1:9" ht="20.25" customHeight="1">
      <c r="A30" s="27" t="s">
        <v>249</v>
      </c>
      <c r="B30" s="200">
        <v>2117</v>
      </c>
      <c r="C30" s="51">
        <v>469.4</v>
      </c>
      <c r="D30" s="51">
        <f>240.5+279</f>
        <v>519.5</v>
      </c>
      <c r="E30" s="51">
        <v>324</v>
      </c>
      <c r="F30" s="51">
        <v>279.2</v>
      </c>
      <c r="G30" s="51">
        <f t="shared" si="2"/>
        <v>-44.800000000000011</v>
      </c>
      <c r="H30" s="68">
        <f t="shared" si="3"/>
        <v>86.172839506172835</v>
      </c>
    </row>
    <row r="31" spans="1:9" ht="20.25" customHeight="1">
      <c r="A31" s="27" t="s">
        <v>250</v>
      </c>
      <c r="B31" s="200">
        <v>2118</v>
      </c>
      <c r="C31" s="51"/>
      <c r="D31" s="51"/>
      <c r="E31" s="51"/>
      <c r="F31" s="51"/>
      <c r="G31" s="51">
        <f t="shared" si="2"/>
        <v>0</v>
      </c>
      <c r="H31" s="68" t="e">
        <f t="shared" si="3"/>
        <v>#DIV/0!</v>
      </c>
    </row>
    <row r="32" spans="1:9" s="28" customFormat="1" ht="39" customHeight="1">
      <c r="A32" s="42" t="s">
        <v>251</v>
      </c>
      <c r="B32" s="33">
        <v>2120</v>
      </c>
      <c r="C32" s="204">
        <f>SUM(C33:C36)</f>
        <v>837.69999999999993</v>
      </c>
      <c r="D32" s="204">
        <f>SUM(D33:D36)</f>
        <v>927.40000000000009</v>
      </c>
      <c r="E32" s="204">
        <f>SUM(E33:E36)</f>
        <v>576</v>
      </c>
      <c r="F32" s="204">
        <f>SUM(F33:F36)</f>
        <v>496.3</v>
      </c>
      <c r="G32" s="56">
        <f t="shared" si="2"/>
        <v>-79.699999999999989</v>
      </c>
      <c r="H32" s="70">
        <f t="shared" si="3"/>
        <v>86.163194444444443</v>
      </c>
    </row>
    <row r="33" spans="1:16" ht="20.25" customHeight="1">
      <c r="A33" s="27" t="s">
        <v>249</v>
      </c>
      <c r="B33" s="200">
        <v>2121</v>
      </c>
      <c r="C33" s="51">
        <v>834.4</v>
      </c>
      <c r="D33" s="51">
        <f>427.7+496</f>
        <v>923.7</v>
      </c>
      <c r="E33" s="51">
        <v>576</v>
      </c>
      <c r="F33" s="51">
        <v>496.3</v>
      </c>
      <c r="G33" s="51">
        <f t="shared" si="2"/>
        <v>-79.699999999999989</v>
      </c>
      <c r="H33" s="68">
        <f t="shared" si="3"/>
        <v>86.163194444444443</v>
      </c>
      <c r="K33" s="240"/>
    </row>
    <row r="34" spans="1:16" ht="20.25" customHeight="1">
      <c r="A34" s="27" t="s">
        <v>252</v>
      </c>
      <c r="B34" s="200">
        <v>2122</v>
      </c>
      <c r="C34" s="51">
        <v>3.3</v>
      </c>
      <c r="D34" s="51">
        <f>3.7</f>
        <v>3.7</v>
      </c>
      <c r="E34" s="51"/>
      <c r="F34" s="51"/>
      <c r="G34" s="51">
        <f t="shared" si="2"/>
        <v>0</v>
      </c>
      <c r="H34" s="68" t="e">
        <f t="shared" si="3"/>
        <v>#DIV/0!</v>
      </c>
    </row>
    <row r="35" spans="1:16" ht="20.25" customHeight="1">
      <c r="A35" s="27" t="s">
        <v>253</v>
      </c>
      <c r="B35" s="200">
        <v>2123</v>
      </c>
      <c r="C35" s="51"/>
      <c r="D35" s="51"/>
      <c r="E35" s="51"/>
      <c r="F35" s="51"/>
      <c r="G35" s="51">
        <f t="shared" si="2"/>
        <v>0</v>
      </c>
      <c r="H35" s="68" t="e">
        <f t="shared" si="3"/>
        <v>#DIV/0!</v>
      </c>
      <c r="K35" s="240"/>
    </row>
    <row r="36" spans="1:16" s="28" customFormat="1" ht="20.25" customHeight="1">
      <c r="A36" s="27" t="s">
        <v>250</v>
      </c>
      <c r="B36" s="200">
        <v>2124</v>
      </c>
      <c r="C36" s="51"/>
      <c r="D36" s="51"/>
      <c r="E36" s="51"/>
      <c r="F36" s="51"/>
      <c r="G36" s="51">
        <f t="shared" si="2"/>
        <v>0</v>
      </c>
      <c r="H36" s="68" t="e">
        <f t="shared" si="3"/>
        <v>#DIV/0!</v>
      </c>
    </row>
    <row r="37" spans="1:16" s="28" customFormat="1" ht="24.75" customHeight="1">
      <c r="A37" s="42" t="s">
        <v>254</v>
      </c>
      <c r="B37" s="33">
        <v>2130</v>
      </c>
      <c r="C37" s="204">
        <f>SUM(C39:C42)</f>
        <v>1561.8</v>
      </c>
      <c r="D37" s="204">
        <f>SUM(D39:D42)</f>
        <v>1989.3</v>
      </c>
      <c r="E37" s="204">
        <f>SUM(E39:E42)</f>
        <v>1350</v>
      </c>
      <c r="F37" s="204">
        <f>SUM(F39:F42)</f>
        <v>1055.5</v>
      </c>
      <c r="G37" s="56">
        <f t="shared" si="2"/>
        <v>-294.5</v>
      </c>
      <c r="H37" s="70">
        <f t="shared" si="3"/>
        <v>78.185185185185176</v>
      </c>
      <c r="K37" s="241"/>
      <c r="L37" s="241"/>
      <c r="M37" s="241"/>
      <c r="N37" s="241"/>
      <c r="O37" s="241"/>
      <c r="P37" s="241"/>
    </row>
    <row r="38" spans="1:16" s="28" customFormat="1" ht="37.5">
      <c r="A38" s="27" t="s">
        <v>406</v>
      </c>
      <c r="B38" s="226">
        <v>2131</v>
      </c>
      <c r="C38" s="51"/>
      <c r="D38" s="51"/>
      <c r="E38" s="51"/>
      <c r="F38" s="51"/>
      <c r="G38" s="51"/>
      <c r="H38" s="68"/>
      <c r="I38" s="26"/>
      <c r="J38" s="26"/>
    </row>
    <row r="39" spans="1:16" ht="56.25">
      <c r="A39" s="27" t="s">
        <v>45</v>
      </c>
      <c r="B39" s="200">
        <v>2132</v>
      </c>
      <c r="C39" s="51"/>
      <c r="D39" s="51"/>
      <c r="E39" s="51"/>
      <c r="F39" s="51"/>
      <c r="G39" s="51">
        <f t="shared" si="2"/>
        <v>0</v>
      </c>
      <c r="H39" s="68" t="e">
        <f t="shared" si="3"/>
        <v>#DIV/0!</v>
      </c>
    </row>
    <row r="40" spans="1:16" s="28" customFormat="1" ht="19.5" customHeight="1">
      <c r="A40" s="27" t="s">
        <v>255</v>
      </c>
      <c r="B40" s="200">
        <v>2133</v>
      </c>
      <c r="C40" s="51"/>
      <c r="D40" s="51"/>
      <c r="E40" s="51"/>
      <c r="F40" s="51"/>
      <c r="G40" s="51">
        <f t="shared" si="2"/>
        <v>0</v>
      </c>
      <c r="H40" s="68" t="e">
        <f t="shared" si="3"/>
        <v>#DIV/0!</v>
      </c>
    </row>
    <row r="41" spans="1:16" ht="19.5" customHeight="1">
      <c r="A41" s="27" t="s">
        <v>256</v>
      </c>
      <c r="B41" s="200">
        <v>2134</v>
      </c>
      <c r="C41" s="51">
        <v>1453.1</v>
      </c>
      <c r="D41" s="51">
        <f>748+840</f>
        <v>1588</v>
      </c>
      <c r="E41" s="51">
        <v>1100</v>
      </c>
      <c r="F41" s="51">
        <v>839.8</v>
      </c>
      <c r="G41" s="51">
        <f t="shared" si="2"/>
        <v>-260.20000000000005</v>
      </c>
      <c r="H41" s="68">
        <f t="shared" si="3"/>
        <v>76.345454545454544</v>
      </c>
    </row>
    <row r="42" spans="1:16" ht="19.5" customHeight="1">
      <c r="A42" s="27" t="s">
        <v>423</v>
      </c>
      <c r="B42" s="200">
        <v>2135</v>
      </c>
      <c r="C42" s="51">
        <v>108.7</v>
      </c>
      <c r="D42" s="51">
        <f>185.6+215.7</f>
        <v>401.29999999999995</v>
      </c>
      <c r="E42" s="51">
        <v>250</v>
      </c>
      <c r="F42" s="51">
        <v>215.7</v>
      </c>
      <c r="G42" s="51">
        <f t="shared" si="2"/>
        <v>-34.300000000000011</v>
      </c>
      <c r="H42" s="68">
        <f t="shared" si="3"/>
        <v>86.279999999999987</v>
      </c>
    </row>
    <row r="43" spans="1:16" s="28" customFormat="1" ht="19.5" customHeight="1">
      <c r="A43" s="42" t="s">
        <v>257</v>
      </c>
      <c r="B43" s="33">
        <v>2140</v>
      </c>
      <c r="C43" s="204">
        <f>SUM(C44:C45)</f>
        <v>0</v>
      </c>
      <c r="D43" s="204">
        <f>SUM(D44:D45)</f>
        <v>0</v>
      </c>
      <c r="E43" s="204">
        <f>SUM(E44:E45)</f>
        <v>0</v>
      </c>
      <c r="F43" s="204">
        <f>SUM(F44:F45)</f>
        <v>0</v>
      </c>
      <c r="G43" s="56">
        <f t="shared" si="2"/>
        <v>0</v>
      </c>
      <c r="H43" s="70" t="e">
        <f t="shared" si="3"/>
        <v>#DIV/0!</v>
      </c>
    </row>
    <row r="44" spans="1:16" ht="40.5" customHeight="1">
      <c r="A44" s="27" t="s">
        <v>258</v>
      </c>
      <c r="B44" s="200">
        <v>2141</v>
      </c>
      <c r="C44" s="51"/>
      <c r="D44" s="51"/>
      <c r="E44" s="51"/>
      <c r="F44" s="51"/>
      <c r="G44" s="51">
        <f t="shared" si="2"/>
        <v>0</v>
      </c>
      <c r="H44" s="68" t="e">
        <f t="shared" si="3"/>
        <v>#DIV/0!</v>
      </c>
    </row>
    <row r="45" spans="1:16" s="28" customFormat="1" ht="20.25" customHeight="1">
      <c r="A45" s="27" t="s">
        <v>259</v>
      </c>
      <c r="B45" s="200">
        <v>2142</v>
      </c>
      <c r="C45" s="51"/>
      <c r="D45" s="51"/>
      <c r="E45" s="51"/>
      <c r="F45" s="51"/>
      <c r="G45" s="51">
        <f t="shared" si="2"/>
        <v>0</v>
      </c>
      <c r="H45" s="68" t="e">
        <f t="shared" si="3"/>
        <v>#DIV/0!</v>
      </c>
    </row>
    <row r="46" spans="1:16" s="28" customFormat="1" ht="22.5" customHeight="1">
      <c r="A46" s="42" t="s">
        <v>46</v>
      </c>
      <c r="B46" s="33">
        <v>2200</v>
      </c>
      <c r="C46" s="204">
        <f>SUM(C23,C32,C37,C43)</f>
        <v>2868.8999999999996</v>
      </c>
      <c r="D46" s="204">
        <f>SUM(D23,D32,D37,D43)</f>
        <v>3441.3</v>
      </c>
      <c r="E46" s="204">
        <f>SUM(E23,E32,E37,E43)</f>
        <v>2250</v>
      </c>
      <c r="F46" s="204">
        <f>SUM(F23,F32,F37,F43)</f>
        <v>1834.3</v>
      </c>
      <c r="G46" s="56">
        <f t="shared" si="2"/>
        <v>-415.70000000000005</v>
      </c>
      <c r="H46" s="70">
        <f t="shared" si="3"/>
        <v>81.524444444444441</v>
      </c>
    </row>
    <row r="47" spans="1:16" s="28" customFormat="1">
      <c r="A47" s="39"/>
      <c r="B47" s="29"/>
      <c r="C47" s="29"/>
      <c r="D47" s="29"/>
      <c r="E47" s="29"/>
      <c r="F47" s="29"/>
      <c r="G47" s="29"/>
      <c r="H47" s="29"/>
    </row>
    <row r="48" spans="1:16" s="28" customFormat="1">
      <c r="A48" s="39"/>
      <c r="B48" s="29"/>
      <c r="C48" s="29"/>
      <c r="D48" s="29"/>
      <c r="E48" s="29"/>
      <c r="F48" s="29"/>
      <c r="G48" s="29"/>
      <c r="H48" s="29"/>
    </row>
    <row r="49" spans="1:10" s="3" customFormat="1" ht="27.75" customHeight="1">
      <c r="A49" s="243" t="s">
        <v>437</v>
      </c>
      <c r="B49" s="1"/>
      <c r="C49" s="292" t="s">
        <v>223</v>
      </c>
      <c r="D49" s="292"/>
      <c r="E49" s="44"/>
      <c r="F49" s="210"/>
      <c r="G49" s="210"/>
      <c r="H49" s="210"/>
      <c r="I49" s="210"/>
      <c r="J49" s="210"/>
    </row>
    <row r="50" spans="1:10" s="2" customFormat="1">
      <c r="A50" s="196"/>
      <c r="B50" s="210"/>
      <c r="C50" s="291" t="s">
        <v>260</v>
      </c>
      <c r="D50" s="291"/>
      <c r="E50" s="210"/>
      <c r="F50" s="293" t="s">
        <v>431</v>
      </c>
      <c r="G50" s="293"/>
      <c r="H50" s="293"/>
    </row>
    <row r="51" spans="1:10" s="29" customFormat="1">
      <c r="A51" s="35"/>
      <c r="I51" s="26"/>
      <c r="J51" s="26"/>
    </row>
    <row r="52" spans="1:10" s="29" customFormat="1">
      <c r="A52" s="35"/>
      <c r="I52" s="26"/>
      <c r="J52" s="26"/>
    </row>
    <row r="53" spans="1:10" s="29" customFormat="1">
      <c r="A53" s="35"/>
      <c r="I53" s="26"/>
      <c r="J53" s="26"/>
    </row>
    <row r="54" spans="1:10" s="29" customFormat="1">
      <c r="A54" s="35"/>
      <c r="I54" s="26"/>
      <c r="J54" s="26"/>
    </row>
    <row r="55" spans="1:10" s="29" customFormat="1">
      <c r="A55" s="35"/>
      <c r="I55" s="26"/>
      <c r="J55" s="26"/>
    </row>
    <row r="56" spans="1:10" s="29" customFormat="1">
      <c r="A56" s="35"/>
      <c r="I56" s="26"/>
      <c r="J56" s="26"/>
    </row>
    <row r="57" spans="1:10" s="29" customFormat="1">
      <c r="A57" s="35"/>
      <c r="I57" s="26"/>
      <c r="J57" s="26"/>
    </row>
    <row r="58" spans="1:10" s="29" customFormat="1">
      <c r="A58" s="35"/>
      <c r="I58" s="26"/>
      <c r="J58" s="26"/>
    </row>
    <row r="59" spans="1:10" s="29" customFormat="1">
      <c r="A59" s="35"/>
      <c r="I59" s="26"/>
      <c r="J59" s="26"/>
    </row>
    <row r="60" spans="1:10" s="29" customFormat="1">
      <c r="A60" s="35"/>
      <c r="I60" s="26"/>
      <c r="J60" s="26"/>
    </row>
    <row r="61" spans="1:10" s="29" customFormat="1">
      <c r="A61" s="35"/>
      <c r="I61" s="26"/>
      <c r="J61" s="26"/>
    </row>
    <row r="62" spans="1:10" s="29" customFormat="1">
      <c r="A62" s="35"/>
      <c r="I62" s="26"/>
      <c r="J62" s="26"/>
    </row>
    <row r="63" spans="1:10" s="29" customFormat="1">
      <c r="A63" s="35"/>
      <c r="I63" s="26"/>
      <c r="J63" s="26"/>
    </row>
    <row r="64" spans="1:10" s="29" customFormat="1">
      <c r="A64" s="35"/>
      <c r="I64" s="26"/>
      <c r="J64" s="26"/>
    </row>
    <row r="65" spans="1:10" s="29" customFormat="1">
      <c r="A65" s="35"/>
      <c r="I65" s="26"/>
      <c r="J65" s="26"/>
    </row>
    <row r="66" spans="1:10" s="29" customFormat="1">
      <c r="A66" s="35"/>
      <c r="I66" s="26"/>
      <c r="J66" s="26"/>
    </row>
    <row r="67" spans="1:10" s="29" customFormat="1">
      <c r="A67" s="35"/>
      <c r="I67" s="26"/>
      <c r="J67" s="26"/>
    </row>
    <row r="68" spans="1:10" s="29" customFormat="1">
      <c r="A68" s="35"/>
      <c r="I68" s="26"/>
      <c r="J68" s="26"/>
    </row>
    <row r="69" spans="1:10" s="29" customFormat="1">
      <c r="A69" s="35"/>
      <c r="I69" s="26"/>
      <c r="J69" s="26"/>
    </row>
    <row r="70" spans="1:10" s="29" customFormat="1">
      <c r="A70" s="35"/>
      <c r="I70" s="26"/>
      <c r="J70" s="26"/>
    </row>
    <row r="71" spans="1:10" s="29" customFormat="1">
      <c r="A71" s="35"/>
      <c r="I71" s="26"/>
      <c r="J71" s="26"/>
    </row>
    <row r="72" spans="1:10" s="29" customFormat="1">
      <c r="A72" s="35"/>
      <c r="I72" s="26"/>
      <c r="J72" s="26"/>
    </row>
    <row r="73" spans="1:10" s="29" customFormat="1">
      <c r="A73" s="35"/>
      <c r="I73" s="26"/>
      <c r="J73" s="26"/>
    </row>
    <row r="74" spans="1:10" s="29" customFormat="1">
      <c r="A74" s="35"/>
      <c r="I74" s="26"/>
      <c r="J74" s="26"/>
    </row>
    <row r="75" spans="1:10" s="29" customFormat="1">
      <c r="A75" s="35"/>
      <c r="I75" s="26"/>
      <c r="J75" s="26"/>
    </row>
    <row r="76" spans="1:10" s="29" customFormat="1">
      <c r="A76" s="35"/>
      <c r="I76" s="26"/>
      <c r="J76" s="26"/>
    </row>
    <row r="77" spans="1:10" s="29" customFormat="1">
      <c r="A77" s="35"/>
      <c r="I77" s="26"/>
      <c r="J77" s="26"/>
    </row>
    <row r="78" spans="1:10" s="29" customFormat="1">
      <c r="A78" s="35"/>
      <c r="I78" s="26"/>
      <c r="J78" s="26"/>
    </row>
    <row r="79" spans="1:10" s="29" customFormat="1">
      <c r="A79" s="35"/>
      <c r="I79" s="26"/>
      <c r="J79" s="26"/>
    </row>
    <row r="80" spans="1:10" s="29" customFormat="1">
      <c r="A80" s="35"/>
      <c r="I80" s="26"/>
      <c r="J80" s="26"/>
    </row>
    <row r="81" spans="1:10" s="29" customFormat="1">
      <c r="A81" s="35"/>
      <c r="I81" s="26"/>
      <c r="J81" s="26"/>
    </row>
    <row r="82" spans="1:10" s="29" customFormat="1">
      <c r="A82" s="35"/>
      <c r="I82" s="26"/>
      <c r="J82" s="26"/>
    </row>
    <row r="83" spans="1:10" s="29" customFormat="1">
      <c r="A83" s="35"/>
      <c r="I83" s="26"/>
      <c r="J83" s="26"/>
    </row>
    <row r="84" spans="1:10" s="29" customFormat="1">
      <c r="A84" s="35"/>
      <c r="I84" s="26"/>
      <c r="J84" s="26"/>
    </row>
    <row r="85" spans="1:10" s="29" customFormat="1">
      <c r="A85" s="35"/>
      <c r="I85" s="26"/>
      <c r="J85" s="26"/>
    </row>
    <row r="86" spans="1:10" s="29" customFormat="1">
      <c r="A86" s="35"/>
      <c r="I86" s="26"/>
      <c r="J86" s="26"/>
    </row>
    <row r="87" spans="1:10" s="29" customFormat="1">
      <c r="A87" s="35"/>
      <c r="I87" s="26"/>
      <c r="J87" s="26"/>
    </row>
    <row r="88" spans="1:10" s="29" customFormat="1">
      <c r="A88" s="35"/>
      <c r="I88" s="26"/>
      <c r="J88" s="26"/>
    </row>
    <row r="89" spans="1:10" s="29" customFormat="1">
      <c r="A89" s="35"/>
      <c r="I89" s="26"/>
      <c r="J89" s="26"/>
    </row>
    <row r="90" spans="1:10" s="29" customFormat="1">
      <c r="A90" s="35"/>
      <c r="I90" s="26"/>
      <c r="J90" s="26"/>
    </row>
    <row r="91" spans="1:10" s="29" customFormat="1">
      <c r="A91" s="35"/>
      <c r="I91" s="26"/>
      <c r="J91" s="26"/>
    </row>
    <row r="92" spans="1:10" s="29" customFormat="1">
      <c r="A92" s="35"/>
      <c r="I92" s="26"/>
      <c r="J92" s="26"/>
    </row>
    <row r="93" spans="1:10" s="29" customFormat="1">
      <c r="A93" s="35"/>
      <c r="I93" s="26"/>
      <c r="J93" s="26"/>
    </row>
    <row r="94" spans="1:10" s="29" customFormat="1">
      <c r="A94" s="35"/>
      <c r="I94" s="26"/>
      <c r="J94" s="26"/>
    </row>
    <row r="95" spans="1:10" s="29" customFormat="1">
      <c r="A95" s="35"/>
      <c r="I95" s="26"/>
      <c r="J95" s="26"/>
    </row>
    <row r="96" spans="1:10" s="29" customFormat="1">
      <c r="A96" s="35"/>
      <c r="I96" s="26"/>
      <c r="J96" s="26"/>
    </row>
    <row r="97" spans="1:10" s="29" customFormat="1">
      <c r="A97" s="35"/>
      <c r="I97" s="26"/>
      <c r="J97" s="26"/>
    </row>
    <row r="98" spans="1:10" s="29" customFormat="1">
      <c r="A98" s="35"/>
      <c r="I98" s="26"/>
      <c r="J98" s="26"/>
    </row>
    <row r="99" spans="1:10" s="29" customFormat="1">
      <c r="A99" s="35"/>
      <c r="I99" s="26"/>
      <c r="J99" s="26"/>
    </row>
    <row r="100" spans="1:10" s="29" customFormat="1">
      <c r="A100" s="35"/>
      <c r="I100" s="26"/>
      <c r="J100" s="26"/>
    </row>
    <row r="101" spans="1:10" s="29" customFormat="1">
      <c r="A101" s="35"/>
      <c r="I101" s="26"/>
      <c r="J101" s="26"/>
    </row>
    <row r="102" spans="1:10" s="29" customFormat="1">
      <c r="A102" s="35"/>
      <c r="I102" s="26"/>
      <c r="J102" s="26"/>
    </row>
    <row r="103" spans="1:10" s="29" customFormat="1">
      <c r="A103" s="35"/>
      <c r="I103" s="26"/>
      <c r="J103" s="26"/>
    </row>
    <row r="104" spans="1:10" s="29" customFormat="1">
      <c r="A104" s="35"/>
      <c r="I104" s="26"/>
      <c r="J104" s="26"/>
    </row>
    <row r="105" spans="1:10" s="29" customFormat="1">
      <c r="A105" s="35"/>
      <c r="I105" s="26"/>
      <c r="J105" s="26"/>
    </row>
    <row r="106" spans="1:10" s="29" customFormat="1">
      <c r="A106" s="35"/>
      <c r="I106" s="26"/>
      <c r="J106" s="26"/>
    </row>
    <row r="107" spans="1:10" s="29" customFormat="1">
      <c r="A107" s="35"/>
      <c r="I107" s="26"/>
      <c r="J107" s="26"/>
    </row>
    <row r="108" spans="1:10" s="29" customFormat="1">
      <c r="A108" s="35"/>
      <c r="I108" s="26"/>
      <c r="J108" s="26"/>
    </row>
    <row r="109" spans="1:10" s="29" customFormat="1">
      <c r="A109" s="35"/>
      <c r="I109" s="26"/>
      <c r="J109" s="26"/>
    </row>
    <row r="110" spans="1:10" s="29" customFormat="1">
      <c r="A110" s="35"/>
      <c r="I110" s="26"/>
      <c r="J110" s="26"/>
    </row>
    <row r="111" spans="1:10" s="29" customFormat="1">
      <c r="A111" s="35"/>
      <c r="I111" s="26"/>
      <c r="J111" s="26"/>
    </row>
    <row r="112" spans="1:10" s="29" customFormat="1">
      <c r="A112" s="35"/>
      <c r="I112" s="26"/>
      <c r="J112" s="26"/>
    </row>
    <row r="113" spans="1:10" s="29" customFormat="1">
      <c r="A113" s="35"/>
      <c r="I113" s="26"/>
      <c r="J113" s="26"/>
    </row>
    <row r="114" spans="1:10" s="29" customFormat="1">
      <c r="A114" s="35"/>
      <c r="I114" s="26"/>
      <c r="J114" s="26"/>
    </row>
    <row r="115" spans="1:10" s="29" customFormat="1">
      <c r="A115" s="35"/>
      <c r="I115" s="26"/>
      <c r="J115" s="26"/>
    </row>
    <row r="116" spans="1:10" s="29" customFormat="1">
      <c r="A116" s="35"/>
      <c r="I116" s="26"/>
      <c r="J116" s="26"/>
    </row>
    <row r="117" spans="1:10" s="29" customFormat="1">
      <c r="A117" s="35"/>
      <c r="I117" s="26"/>
      <c r="J117" s="26"/>
    </row>
    <row r="118" spans="1:10" s="29" customFormat="1">
      <c r="A118" s="35"/>
      <c r="I118" s="26"/>
      <c r="J118" s="26"/>
    </row>
    <row r="119" spans="1:10" s="29" customFormat="1">
      <c r="A119" s="35"/>
      <c r="I119" s="26"/>
      <c r="J119" s="26"/>
    </row>
    <row r="120" spans="1:10" s="29" customFormat="1">
      <c r="A120" s="35"/>
      <c r="I120" s="26"/>
      <c r="J120" s="26"/>
    </row>
    <row r="121" spans="1:10" s="29" customFormat="1">
      <c r="A121" s="35"/>
      <c r="I121" s="26"/>
      <c r="J121" s="26"/>
    </row>
    <row r="122" spans="1:10" s="29" customFormat="1">
      <c r="A122" s="35"/>
      <c r="I122" s="26"/>
      <c r="J122" s="26"/>
    </row>
    <row r="123" spans="1:10" s="29" customFormat="1">
      <c r="A123" s="35"/>
      <c r="I123" s="26"/>
      <c r="J123" s="26"/>
    </row>
    <row r="124" spans="1:10" s="29" customFormat="1">
      <c r="A124" s="35"/>
      <c r="I124" s="26"/>
      <c r="J124" s="26"/>
    </row>
    <row r="125" spans="1:10" s="29" customFormat="1">
      <c r="A125" s="35"/>
      <c r="I125" s="26"/>
      <c r="J125" s="26"/>
    </row>
    <row r="126" spans="1:10" s="29" customFormat="1">
      <c r="A126" s="35"/>
      <c r="I126" s="26"/>
      <c r="J126" s="26"/>
    </row>
    <row r="127" spans="1:10" s="29" customFormat="1">
      <c r="A127" s="35"/>
      <c r="I127" s="26"/>
      <c r="J127" s="26"/>
    </row>
    <row r="128" spans="1:10" s="29" customFormat="1">
      <c r="A128" s="35"/>
      <c r="I128" s="26"/>
      <c r="J128" s="26"/>
    </row>
    <row r="129" spans="1:10" s="29" customFormat="1">
      <c r="A129" s="35"/>
      <c r="I129" s="26"/>
      <c r="J129" s="26"/>
    </row>
    <row r="130" spans="1:10" s="29" customFormat="1">
      <c r="A130" s="35"/>
      <c r="I130" s="26"/>
      <c r="J130" s="26"/>
    </row>
    <row r="131" spans="1:10" s="29" customFormat="1">
      <c r="A131" s="35"/>
      <c r="I131" s="26"/>
      <c r="J131" s="26"/>
    </row>
    <row r="132" spans="1:10" s="29" customFormat="1">
      <c r="A132" s="35"/>
      <c r="I132" s="26"/>
      <c r="J132" s="26"/>
    </row>
    <row r="133" spans="1:10" s="29" customFormat="1">
      <c r="A133" s="35"/>
      <c r="I133" s="26"/>
      <c r="J133" s="26"/>
    </row>
    <row r="134" spans="1:10" s="29" customFormat="1">
      <c r="A134" s="35"/>
      <c r="I134" s="26"/>
      <c r="J134" s="26"/>
    </row>
    <row r="135" spans="1:10" s="29" customFormat="1">
      <c r="A135" s="35"/>
      <c r="I135" s="26"/>
      <c r="J135" s="26"/>
    </row>
    <row r="136" spans="1:10" s="29" customFormat="1">
      <c r="A136" s="35"/>
      <c r="I136" s="26"/>
      <c r="J136" s="26"/>
    </row>
    <row r="137" spans="1:10" s="29" customFormat="1">
      <c r="A137" s="35"/>
      <c r="I137" s="26"/>
      <c r="J137" s="26"/>
    </row>
    <row r="138" spans="1:10" s="29" customFormat="1">
      <c r="A138" s="35"/>
      <c r="I138" s="26"/>
      <c r="J138" s="26"/>
    </row>
    <row r="139" spans="1:10" s="29" customFormat="1">
      <c r="A139" s="35"/>
      <c r="I139" s="26"/>
      <c r="J139" s="26"/>
    </row>
    <row r="140" spans="1:10" s="29" customFormat="1">
      <c r="A140" s="35"/>
      <c r="I140" s="26"/>
      <c r="J140" s="26"/>
    </row>
    <row r="141" spans="1:10" s="29" customFormat="1">
      <c r="A141" s="35"/>
      <c r="I141" s="26"/>
      <c r="J141" s="26"/>
    </row>
    <row r="142" spans="1:10" s="29" customFormat="1">
      <c r="A142" s="35"/>
      <c r="I142" s="26"/>
      <c r="J142" s="26"/>
    </row>
    <row r="143" spans="1:10" s="29" customFormat="1">
      <c r="A143" s="35"/>
      <c r="I143" s="26"/>
      <c r="J143" s="26"/>
    </row>
    <row r="144" spans="1:10" s="29" customFormat="1">
      <c r="A144" s="35"/>
      <c r="I144" s="26"/>
      <c r="J144" s="26"/>
    </row>
    <row r="145" spans="1:10" s="29" customFormat="1">
      <c r="A145" s="35"/>
      <c r="I145" s="26"/>
      <c r="J145" s="26"/>
    </row>
    <row r="146" spans="1:10" s="29" customFormat="1">
      <c r="A146" s="35"/>
      <c r="I146" s="26"/>
      <c r="J146" s="26"/>
    </row>
    <row r="147" spans="1:10" s="29" customFormat="1">
      <c r="A147" s="35"/>
      <c r="I147" s="26"/>
      <c r="J147" s="26"/>
    </row>
    <row r="148" spans="1:10" s="29" customFormat="1">
      <c r="A148" s="35"/>
      <c r="I148" s="26"/>
      <c r="J148" s="26"/>
    </row>
    <row r="149" spans="1:10" s="29" customFormat="1">
      <c r="A149" s="35"/>
      <c r="I149" s="26"/>
      <c r="J149" s="26"/>
    </row>
    <row r="150" spans="1:10" s="29" customFormat="1">
      <c r="A150" s="35"/>
      <c r="I150" s="26"/>
      <c r="J150" s="26"/>
    </row>
    <row r="151" spans="1:10" s="29" customFormat="1">
      <c r="A151" s="35"/>
      <c r="I151" s="26"/>
      <c r="J151" s="26"/>
    </row>
    <row r="152" spans="1:10" s="29" customFormat="1">
      <c r="A152" s="35"/>
      <c r="I152" s="26"/>
      <c r="J152" s="26"/>
    </row>
    <row r="153" spans="1:10" s="29" customFormat="1">
      <c r="A153" s="35"/>
      <c r="I153" s="26"/>
      <c r="J153" s="26"/>
    </row>
    <row r="154" spans="1:10" s="29" customFormat="1">
      <c r="A154" s="35"/>
      <c r="I154" s="26"/>
      <c r="J154" s="26"/>
    </row>
    <row r="155" spans="1:10" s="29" customFormat="1">
      <c r="A155" s="35"/>
      <c r="I155" s="26"/>
      <c r="J155" s="26"/>
    </row>
    <row r="156" spans="1:10" s="29" customFormat="1">
      <c r="A156" s="35"/>
      <c r="I156" s="26"/>
      <c r="J156" s="26"/>
    </row>
    <row r="157" spans="1:10" s="29" customFormat="1">
      <c r="A157" s="35"/>
      <c r="I157" s="26"/>
      <c r="J157" s="26"/>
    </row>
    <row r="158" spans="1:10" s="29" customFormat="1">
      <c r="A158" s="35"/>
      <c r="I158" s="26"/>
      <c r="J158" s="26"/>
    </row>
    <row r="159" spans="1:10" s="29" customFormat="1">
      <c r="A159" s="35"/>
      <c r="I159" s="26"/>
      <c r="J159" s="26"/>
    </row>
    <row r="160" spans="1:10" s="29" customFormat="1">
      <c r="A160" s="35"/>
      <c r="I160" s="26"/>
      <c r="J160" s="26"/>
    </row>
    <row r="161" spans="1:10" s="29" customFormat="1">
      <c r="A161" s="35"/>
      <c r="I161" s="26"/>
      <c r="J161" s="26"/>
    </row>
    <row r="162" spans="1:10" s="29" customFormat="1">
      <c r="A162" s="35"/>
      <c r="I162" s="26"/>
      <c r="J162" s="26"/>
    </row>
    <row r="163" spans="1:10" s="29" customFormat="1">
      <c r="A163" s="35"/>
      <c r="I163" s="26"/>
      <c r="J163" s="26"/>
    </row>
    <row r="164" spans="1:10" s="29" customFormat="1">
      <c r="A164" s="35"/>
      <c r="I164" s="26"/>
      <c r="J164" s="26"/>
    </row>
    <row r="165" spans="1:10" s="29" customFormat="1">
      <c r="A165" s="35"/>
      <c r="I165" s="26"/>
      <c r="J165" s="26"/>
    </row>
    <row r="166" spans="1:10" s="29" customFormat="1">
      <c r="A166" s="35"/>
      <c r="I166" s="26"/>
      <c r="J166" s="26"/>
    </row>
    <row r="167" spans="1:10" s="29" customFormat="1">
      <c r="A167" s="35"/>
      <c r="I167" s="26"/>
      <c r="J167" s="26"/>
    </row>
    <row r="168" spans="1:10" s="29" customFormat="1">
      <c r="A168" s="35"/>
      <c r="I168" s="26"/>
      <c r="J168" s="26"/>
    </row>
    <row r="169" spans="1:10" s="29" customFormat="1">
      <c r="A169" s="35"/>
      <c r="I169" s="26"/>
      <c r="J169" s="26"/>
    </row>
    <row r="170" spans="1:10" s="29" customFormat="1">
      <c r="A170" s="35"/>
      <c r="I170" s="26"/>
      <c r="J170" s="26"/>
    </row>
    <row r="171" spans="1:10" s="29" customFormat="1">
      <c r="A171" s="35"/>
      <c r="I171" s="26"/>
      <c r="J171" s="26"/>
    </row>
    <row r="172" spans="1:10" s="29" customFormat="1">
      <c r="A172" s="35"/>
      <c r="I172" s="26"/>
      <c r="J172" s="26"/>
    </row>
    <row r="173" spans="1:10" s="29" customFormat="1">
      <c r="A173" s="35"/>
      <c r="I173" s="26"/>
      <c r="J173" s="26"/>
    </row>
    <row r="174" spans="1:10" s="29" customFormat="1">
      <c r="A174" s="35"/>
      <c r="I174" s="26"/>
      <c r="J174" s="26"/>
    </row>
    <row r="175" spans="1:10" s="29" customFormat="1">
      <c r="A175" s="35"/>
      <c r="I175" s="26"/>
      <c r="J175" s="26"/>
    </row>
    <row r="176" spans="1:10" s="29" customFormat="1">
      <c r="A176" s="35"/>
      <c r="I176" s="26"/>
      <c r="J176" s="26"/>
    </row>
    <row r="177" spans="1:10" s="29" customFormat="1">
      <c r="A177" s="35"/>
      <c r="I177" s="26"/>
      <c r="J177" s="26"/>
    </row>
    <row r="178" spans="1:10" s="29" customFormat="1">
      <c r="A178" s="35"/>
      <c r="I178" s="26"/>
      <c r="J178" s="26"/>
    </row>
    <row r="179" spans="1:10" s="29" customFormat="1">
      <c r="A179" s="35"/>
      <c r="I179" s="26"/>
      <c r="J179" s="26"/>
    </row>
    <row r="180" spans="1:10" s="29" customFormat="1">
      <c r="A180" s="35"/>
      <c r="I180" s="26"/>
      <c r="J180" s="26"/>
    </row>
    <row r="181" spans="1:10" s="29" customFormat="1">
      <c r="A181" s="35"/>
      <c r="I181" s="26"/>
      <c r="J181" s="26"/>
    </row>
    <row r="182" spans="1:10" s="29" customFormat="1">
      <c r="A182" s="35"/>
      <c r="I182" s="26"/>
      <c r="J182" s="26"/>
    </row>
    <row r="183" spans="1:10" s="29" customFormat="1">
      <c r="A183" s="35"/>
      <c r="I183" s="26"/>
      <c r="J183" s="26"/>
    </row>
    <row r="184" spans="1:10" s="29" customFormat="1">
      <c r="A184" s="35"/>
      <c r="I184" s="26"/>
      <c r="J184" s="26"/>
    </row>
    <row r="185" spans="1:10" s="29" customFormat="1">
      <c r="A185" s="35"/>
      <c r="I185" s="26"/>
      <c r="J185" s="26"/>
    </row>
    <row r="186" spans="1:10" s="29" customFormat="1">
      <c r="A186" s="35"/>
      <c r="I186" s="26"/>
      <c r="J186" s="26"/>
    </row>
    <row r="187" spans="1:10" s="29" customFormat="1">
      <c r="A187" s="35"/>
      <c r="I187" s="26"/>
      <c r="J187" s="26"/>
    </row>
    <row r="188" spans="1:10" s="29" customFormat="1">
      <c r="A188" s="35"/>
      <c r="I188" s="26"/>
      <c r="J188" s="26"/>
    </row>
    <row r="189" spans="1:10" s="29" customFormat="1">
      <c r="A189" s="35"/>
      <c r="I189" s="26"/>
      <c r="J189" s="26"/>
    </row>
    <row r="190" spans="1:10" s="29" customFormat="1">
      <c r="A190" s="35"/>
      <c r="I190" s="26"/>
      <c r="J190" s="26"/>
    </row>
    <row r="191" spans="1:10" s="29" customFormat="1">
      <c r="A191" s="35"/>
      <c r="I191" s="26"/>
      <c r="J191" s="26"/>
    </row>
    <row r="192" spans="1:10" s="29" customFormat="1">
      <c r="A192" s="35"/>
      <c r="I192" s="26"/>
      <c r="J192" s="26"/>
    </row>
    <row r="193" spans="1:10" s="29" customFormat="1">
      <c r="A193" s="35"/>
      <c r="I193" s="26"/>
      <c r="J193" s="26"/>
    </row>
    <row r="194" spans="1:10" s="29" customFormat="1">
      <c r="A194" s="35"/>
      <c r="I194" s="26"/>
      <c r="J194" s="26"/>
    </row>
    <row r="195" spans="1:10" s="29" customFormat="1">
      <c r="A195" s="35"/>
      <c r="I195" s="26"/>
      <c r="J195" s="26"/>
    </row>
    <row r="196" spans="1:10" s="29" customFormat="1">
      <c r="A196" s="35"/>
      <c r="I196" s="26"/>
      <c r="J196" s="26"/>
    </row>
    <row r="197" spans="1:10" s="29" customFormat="1">
      <c r="A197" s="35"/>
      <c r="I197" s="26"/>
      <c r="J197" s="26"/>
    </row>
    <row r="198" spans="1:10" s="29" customFormat="1">
      <c r="A198" s="35"/>
      <c r="I198" s="26"/>
      <c r="J198" s="26"/>
    </row>
    <row r="199" spans="1:10" s="29" customFormat="1">
      <c r="A199" s="35"/>
      <c r="I199" s="26"/>
      <c r="J199" s="26"/>
    </row>
    <row r="200" spans="1:10" s="29" customFormat="1">
      <c r="A200" s="35"/>
      <c r="I200" s="26"/>
      <c r="J200" s="26"/>
    </row>
  </sheetData>
  <mergeCells count="11">
    <mergeCell ref="C50:D50"/>
    <mergeCell ref="A6:H6"/>
    <mergeCell ref="A22:H22"/>
    <mergeCell ref="C49:D49"/>
    <mergeCell ref="F50:H50"/>
    <mergeCell ref="A3:A4"/>
    <mergeCell ref="B3:B4"/>
    <mergeCell ref="C3:D3"/>
    <mergeCell ref="E3:H3"/>
    <mergeCell ref="A1:H1"/>
    <mergeCell ref="A2:H2"/>
  </mergeCells>
  <phoneticPr fontId="3" type="noConversion"/>
  <pageMargins left="1.1811023622047245" right="0.39370078740157483" top="0.78740157480314965" bottom="0.78740157480314965" header="0.19685039370078741" footer="0.11811023622047245"/>
  <pageSetup paperSize="9" scale="58" fitToHeight="2" orientation="landscape" r:id="rId1"/>
  <headerFooter alignWithMargins="0">
    <oddHeader>&amp;R
&amp;"Times New Roman,звичайний"&amp;14Продовження додатка 3
Таблиця 2</oddHeader>
  </headerFooter>
  <rowBreaks count="1" manualBreakCount="1">
    <brk id="31" max="7" man="1"/>
  </rowBreaks>
  <ignoredErrors>
    <ignoredError sqref="H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87"/>
  <sheetViews>
    <sheetView topLeftCell="A37" zoomScale="50" zoomScaleNormal="50" zoomScaleSheetLayoutView="75" workbookViewId="0">
      <selection activeCell="F33" sqref="F33"/>
    </sheetView>
  </sheetViews>
  <sheetFormatPr defaultRowHeight="18.75"/>
  <cols>
    <col min="1" max="1" width="88" style="2" customWidth="1"/>
    <col min="2" max="2" width="15" style="2" customWidth="1"/>
    <col min="3" max="7" width="20.42578125" style="2" customWidth="1"/>
    <col min="8" max="8" width="18.42578125" style="2" customWidth="1"/>
    <col min="9" max="16384" width="9.140625" style="2"/>
  </cols>
  <sheetData>
    <row r="1" spans="1:8">
      <c r="A1" s="264" t="s">
        <v>261</v>
      </c>
      <c r="B1" s="264"/>
      <c r="C1" s="264"/>
      <c r="D1" s="264"/>
      <c r="E1" s="264"/>
      <c r="F1" s="264"/>
      <c r="G1" s="264"/>
      <c r="H1" s="264"/>
    </row>
    <row r="2" spans="1:8">
      <c r="A2" s="14"/>
      <c r="B2" s="14"/>
      <c r="C2" s="14"/>
      <c r="D2" s="14"/>
      <c r="E2" s="14"/>
      <c r="F2" s="14"/>
      <c r="G2" s="14"/>
      <c r="H2" s="14"/>
    </row>
    <row r="3" spans="1:8" ht="48" customHeight="1">
      <c r="A3" s="279" t="s">
        <v>24</v>
      </c>
      <c r="B3" s="307" t="s">
        <v>262</v>
      </c>
      <c r="C3" s="279" t="s">
        <v>263</v>
      </c>
      <c r="D3" s="279"/>
      <c r="E3" s="301" t="s">
        <v>27</v>
      </c>
      <c r="F3" s="301"/>
      <c r="G3" s="301"/>
      <c r="H3" s="301"/>
    </row>
    <row r="4" spans="1:8" ht="38.25" customHeight="1">
      <c r="A4" s="279"/>
      <c r="B4" s="307"/>
      <c r="C4" s="186" t="s">
        <v>28</v>
      </c>
      <c r="D4" s="186" t="s">
        <v>29</v>
      </c>
      <c r="E4" s="186" t="s">
        <v>30</v>
      </c>
      <c r="F4" s="186" t="s">
        <v>31</v>
      </c>
      <c r="G4" s="207" t="s">
        <v>32</v>
      </c>
      <c r="H4" s="207" t="s">
        <v>33</v>
      </c>
    </row>
    <row r="5" spans="1:8">
      <c r="A5" s="207">
        <v>1</v>
      </c>
      <c r="B5" s="212">
        <v>2</v>
      </c>
      <c r="C5" s="207">
        <v>3</v>
      </c>
      <c r="D5" s="212">
        <v>4</v>
      </c>
      <c r="E5" s="207">
        <v>5</v>
      </c>
      <c r="F5" s="212">
        <v>6</v>
      </c>
      <c r="G5" s="207">
        <v>7</v>
      </c>
      <c r="H5" s="212">
        <v>8</v>
      </c>
    </row>
    <row r="6" spans="1:8">
      <c r="A6" s="152" t="s">
        <v>264</v>
      </c>
      <c r="B6" s="201"/>
      <c r="C6" s="201"/>
      <c r="D6" s="201"/>
      <c r="E6" s="201"/>
      <c r="F6" s="201"/>
      <c r="G6" s="201"/>
      <c r="H6" s="202"/>
    </row>
    <row r="7" spans="1:8" s="34" customFormat="1" ht="24.95" customHeight="1">
      <c r="A7" s="66" t="s">
        <v>265</v>
      </c>
      <c r="B7" s="63">
        <v>3000</v>
      </c>
      <c r="C7" s="204">
        <f>SUM(C8:C9,C11,C14:C15,C19)</f>
        <v>12135.3</v>
      </c>
      <c r="D7" s="204">
        <f>SUM(D8:D9,D11,D14:D15,D19)</f>
        <v>13435.6</v>
      </c>
      <c r="E7" s="204">
        <f>SUM(E8:E9,E11,E14:E15,E19)</f>
        <v>6370</v>
      </c>
      <c r="F7" s="204">
        <f>SUM(F8:F9,F11,F14:F15,F19)</f>
        <v>7507.1</v>
      </c>
      <c r="G7" s="56">
        <f>F7-E7</f>
        <v>1137.1000000000004</v>
      </c>
      <c r="H7" s="70">
        <f>(F7/E7)*100</f>
        <v>117.85086342229201</v>
      </c>
    </row>
    <row r="8" spans="1:8" ht="18" customHeight="1">
      <c r="A8" s="209" t="s">
        <v>266</v>
      </c>
      <c r="B8" s="6">
        <v>3010</v>
      </c>
      <c r="C8" s="51">
        <v>10324.9</v>
      </c>
      <c r="D8" s="51">
        <f>5441.2+6779.7</f>
        <v>12220.9</v>
      </c>
      <c r="E8" s="51">
        <v>5941</v>
      </c>
      <c r="F8" s="51">
        <v>6779.7</v>
      </c>
      <c r="G8" s="51">
        <f>F8-E8</f>
        <v>838.69999999999982</v>
      </c>
      <c r="H8" s="68">
        <f>(F8/E8)*100</f>
        <v>114.11715199461369</v>
      </c>
    </row>
    <row r="9" spans="1:8" ht="18" customHeight="1">
      <c r="A9" s="209" t="s">
        <v>267</v>
      </c>
      <c r="B9" s="6">
        <v>3020</v>
      </c>
      <c r="C9" s="51"/>
      <c r="D9" s="51"/>
      <c r="E9" s="51"/>
      <c r="F9" s="51"/>
      <c r="G9" s="51">
        <f t="shared" ref="G9:G19" si="0">F9-E9</f>
        <v>0</v>
      </c>
      <c r="H9" s="68" t="e">
        <f t="shared" ref="H9:H19" si="1">(F9/E9)*100</f>
        <v>#DIV/0!</v>
      </c>
    </row>
    <row r="10" spans="1:8" ht="18" customHeight="1">
      <c r="A10" s="209" t="s">
        <v>268</v>
      </c>
      <c r="B10" s="6">
        <v>3030</v>
      </c>
      <c r="C10" s="51"/>
      <c r="D10" s="51"/>
      <c r="E10" s="51"/>
      <c r="F10" s="51"/>
      <c r="G10" s="51">
        <f t="shared" si="0"/>
        <v>0</v>
      </c>
      <c r="H10" s="68" t="e">
        <f t="shared" si="1"/>
        <v>#DIV/0!</v>
      </c>
    </row>
    <row r="11" spans="1:8" ht="18" customHeight="1">
      <c r="A11" s="209" t="s">
        <v>269</v>
      </c>
      <c r="B11" s="6">
        <v>3040</v>
      </c>
      <c r="C11" s="51">
        <v>1635.1</v>
      </c>
      <c r="D11" s="51">
        <f>413.5+679.6</f>
        <v>1093.0999999999999</v>
      </c>
      <c r="E11" s="51">
        <v>384</v>
      </c>
      <c r="F11" s="51">
        <v>679.6</v>
      </c>
      <c r="G11" s="51">
        <f t="shared" si="0"/>
        <v>295.60000000000002</v>
      </c>
      <c r="H11" s="68">
        <f t="shared" si="1"/>
        <v>176.97916666666666</v>
      </c>
    </row>
    <row r="12" spans="1:8" ht="18" customHeight="1">
      <c r="A12" s="209" t="s">
        <v>270</v>
      </c>
      <c r="B12" s="6">
        <v>3041</v>
      </c>
      <c r="C12" s="51">
        <v>1635.1</v>
      </c>
      <c r="D12" s="51">
        <f>413.5+679.6</f>
        <v>1093.0999999999999</v>
      </c>
      <c r="E12" s="51">
        <v>384</v>
      </c>
      <c r="F12" s="51">
        <v>679.6</v>
      </c>
      <c r="G12" s="51">
        <f>F12-E12</f>
        <v>295.60000000000002</v>
      </c>
      <c r="H12" s="68">
        <f>(F12/E12)*100</f>
        <v>176.97916666666666</v>
      </c>
    </row>
    <row r="13" spans="1:8" ht="18" customHeight="1">
      <c r="A13" s="209" t="s">
        <v>271</v>
      </c>
      <c r="B13" s="6">
        <v>3042</v>
      </c>
      <c r="C13" s="51"/>
      <c r="D13" s="51"/>
      <c r="E13" s="51"/>
      <c r="F13" s="51"/>
      <c r="G13" s="51">
        <f>F13-E13</f>
        <v>0</v>
      </c>
      <c r="H13" s="68" t="e">
        <f>(F13/E13)*100</f>
        <v>#DIV/0!</v>
      </c>
    </row>
    <row r="14" spans="1:8" ht="18" customHeight="1">
      <c r="A14" s="209" t="s">
        <v>272</v>
      </c>
      <c r="B14" s="6">
        <v>3050</v>
      </c>
      <c r="C14" s="51"/>
      <c r="D14" s="51"/>
      <c r="E14" s="51"/>
      <c r="F14" s="51"/>
      <c r="G14" s="51">
        <f t="shared" si="0"/>
        <v>0</v>
      </c>
      <c r="H14" s="68" t="e">
        <f t="shared" si="1"/>
        <v>#DIV/0!</v>
      </c>
    </row>
    <row r="15" spans="1:8" ht="20.100000000000001" customHeight="1">
      <c r="A15" s="209" t="s">
        <v>273</v>
      </c>
      <c r="B15" s="6">
        <v>3060</v>
      </c>
      <c r="C15" s="69">
        <f>SUM(C16:C18)</f>
        <v>0</v>
      </c>
      <c r="D15" s="69">
        <f>SUM(D16:D18)</f>
        <v>0</v>
      </c>
      <c r="E15" s="69">
        <f>SUM(E16:E18)</f>
        <v>0</v>
      </c>
      <c r="F15" s="69">
        <f>SUM(F16:F18)</f>
        <v>0</v>
      </c>
      <c r="G15" s="51">
        <f t="shared" si="0"/>
        <v>0</v>
      </c>
      <c r="H15" s="68" t="e">
        <f t="shared" si="1"/>
        <v>#DIV/0!</v>
      </c>
    </row>
    <row r="16" spans="1:8" ht="18" customHeight="1">
      <c r="A16" s="209" t="s">
        <v>274</v>
      </c>
      <c r="B16" s="192">
        <v>3061</v>
      </c>
      <c r="C16" s="51"/>
      <c r="D16" s="51"/>
      <c r="E16" s="51"/>
      <c r="F16" s="51"/>
      <c r="G16" s="51">
        <f t="shared" si="0"/>
        <v>0</v>
      </c>
      <c r="H16" s="68" t="e">
        <f t="shared" si="1"/>
        <v>#DIV/0!</v>
      </c>
    </row>
    <row r="17" spans="1:8" ht="18" customHeight="1">
      <c r="A17" s="209" t="s">
        <v>275</v>
      </c>
      <c r="B17" s="192">
        <v>3062</v>
      </c>
      <c r="C17" s="51"/>
      <c r="D17" s="51"/>
      <c r="E17" s="51"/>
      <c r="F17" s="51"/>
      <c r="G17" s="51">
        <f t="shared" si="0"/>
        <v>0</v>
      </c>
      <c r="H17" s="68" t="e">
        <f t="shared" si="1"/>
        <v>#DIV/0!</v>
      </c>
    </row>
    <row r="18" spans="1:8" ht="18" customHeight="1">
      <c r="A18" s="209" t="s">
        <v>276</v>
      </c>
      <c r="B18" s="192">
        <v>3063</v>
      </c>
      <c r="C18" s="51"/>
      <c r="D18" s="51"/>
      <c r="E18" s="51"/>
      <c r="F18" s="51"/>
      <c r="G18" s="51">
        <f t="shared" si="0"/>
        <v>0</v>
      </c>
      <c r="H18" s="68" t="e">
        <f t="shared" si="1"/>
        <v>#DIV/0!</v>
      </c>
    </row>
    <row r="19" spans="1:8" ht="18" customHeight="1">
      <c r="A19" s="209" t="s">
        <v>424</v>
      </c>
      <c r="B19" s="6">
        <v>3070</v>
      </c>
      <c r="C19" s="51">
        <v>175.3</v>
      </c>
      <c r="D19" s="51">
        <f>73.8+47.8</f>
        <v>121.6</v>
      </c>
      <c r="E19" s="51">
        <v>45</v>
      </c>
      <c r="F19" s="51">
        <v>47.8</v>
      </c>
      <c r="G19" s="51">
        <f t="shared" si="0"/>
        <v>2.7999999999999972</v>
      </c>
      <c r="H19" s="68">
        <f t="shared" si="1"/>
        <v>106.22222222222221</v>
      </c>
    </row>
    <row r="20" spans="1:8" ht="20.100000000000001" customHeight="1">
      <c r="A20" s="193" t="s">
        <v>278</v>
      </c>
      <c r="B20" s="7">
        <v>3100</v>
      </c>
      <c r="C20" s="204">
        <f>SUM(C21:C24,C28,C38,C39)</f>
        <v>-11784.6</v>
      </c>
      <c r="D20" s="204">
        <f>SUM(D21:D24,D28,D38,D39)</f>
        <v>-11730.7</v>
      </c>
      <c r="E20" s="204">
        <f>SUM(E21:E24,E28,E38,E39)</f>
        <v>-6330</v>
      </c>
      <c r="F20" s="204">
        <f>SUM(F21:F24,F28,F38,F39)</f>
        <v>-7284.6</v>
      </c>
      <c r="G20" s="56">
        <f>F20-E20</f>
        <v>-954.60000000000036</v>
      </c>
      <c r="H20" s="70">
        <f>(F20/E20)*100</f>
        <v>115.08056872037915</v>
      </c>
    </row>
    <row r="21" spans="1:8" ht="18" customHeight="1">
      <c r="A21" s="209" t="s">
        <v>279</v>
      </c>
      <c r="B21" s="6">
        <v>3110</v>
      </c>
      <c r="C21" s="51">
        <v>-3771.7</v>
      </c>
      <c r="D21" s="51">
        <f>-904.7+-2031</f>
        <v>-2935.7</v>
      </c>
      <c r="E21" s="51">
        <v>-180</v>
      </c>
      <c r="F21" s="245">
        <v>-2031</v>
      </c>
      <c r="G21" s="51">
        <f>F21-E21</f>
        <v>-1851</v>
      </c>
      <c r="H21" s="68">
        <f>(F21/E21)*100</f>
        <v>1128.3333333333333</v>
      </c>
    </row>
    <row r="22" spans="1:8" ht="18" customHeight="1">
      <c r="A22" s="209" t="s">
        <v>280</v>
      </c>
      <c r="B22" s="6">
        <v>3120</v>
      </c>
      <c r="C22" s="51">
        <v>-5396.3</v>
      </c>
      <c r="D22" s="51">
        <f>-2179+-3306.8</f>
        <v>-5485.8</v>
      </c>
      <c r="E22" s="51">
        <v>-3850</v>
      </c>
      <c r="F22" s="245">
        <v>-3306.8</v>
      </c>
      <c r="G22" s="51">
        <f t="shared" ref="G22:G39" si="2">F22-E22</f>
        <v>543.19999999999982</v>
      </c>
      <c r="H22" s="68">
        <f t="shared" ref="H22:H39" si="3">(F22/E22)*100</f>
        <v>85.890909090909091</v>
      </c>
    </row>
    <row r="23" spans="1:8" ht="18" customHeight="1">
      <c r="A23" s="209" t="s">
        <v>155</v>
      </c>
      <c r="B23" s="6">
        <v>3130</v>
      </c>
      <c r="C23" s="51">
        <v>-1333.5</v>
      </c>
      <c r="D23" s="51">
        <f>-590.9+-858.3</f>
        <v>-1449.1999999999998</v>
      </c>
      <c r="E23" s="51">
        <v>-1100</v>
      </c>
      <c r="F23" s="245">
        <v>-858.3</v>
      </c>
      <c r="G23" s="51">
        <f t="shared" si="2"/>
        <v>241.70000000000005</v>
      </c>
      <c r="H23" s="68">
        <f t="shared" si="3"/>
        <v>78.027272727272717</v>
      </c>
    </row>
    <row r="24" spans="1:8" ht="18" customHeight="1">
      <c r="A24" s="209" t="s">
        <v>281</v>
      </c>
      <c r="B24" s="6">
        <v>3140</v>
      </c>
      <c r="C24" s="69">
        <f>SUM(C25:C27)</f>
        <v>0</v>
      </c>
      <c r="D24" s="69">
        <f>SUM(D25:D27)</f>
        <v>0</v>
      </c>
      <c r="E24" s="69">
        <f>SUM(E25:E27)</f>
        <v>0</v>
      </c>
      <c r="F24" s="69">
        <f>SUM(F25:F27)</f>
        <v>0</v>
      </c>
      <c r="G24" s="51">
        <f t="shared" si="2"/>
        <v>0</v>
      </c>
      <c r="H24" s="68" t="e">
        <f t="shared" si="3"/>
        <v>#DIV/0!</v>
      </c>
    </row>
    <row r="25" spans="1:8" ht="18" customHeight="1">
      <c r="A25" s="209" t="s">
        <v>274</v>
      </c>
      <c r="B25" s="192">
        <v>3141</v>
      </c>
      <c r="C25" s="51" t="s">
        <v>152</v>
      </c>
      <c r="D25" s="51" t="s">
        <v>152</v>
      </c>
      <c r="E25" s="51" t="s">
        <v>152</v>
      </c>
      <c r="F25" s="51" t="s">
        <v>152</v>
      </c>
      <c r="G25" s="51" t="e">
        <f t="shared" si="2"/>
        <v>#VALUE!</v>
      </c>
      <c r="H25" s="68" t="e">
        <f t="shared" si="3"/>
        <v>#VALUE!</v>
      </c>
    </row>
    <row r="26" spans="1:8" ht="18" customHeight="1">
      <c r="A26" s="209" t="s">
        <v>275</v>
      </c>
      <c r="B26" s="192">
        <v>3142</v>
      </c>
      <c r="C26" s="51" t="s">
        <v>152</v>
      </c>
      <c r="D26" s="51" t="s">
        <v>152</v>
      </c>
      <c r="E26" s="51" t="s">
        <v>152</v>
      </c>
      <c r="F26" s="51" t="s">
        <v>152</v>
      </c>
      <c r="G26" s="51" t="e">
        <f t="shared" si="2"/>
        <v>#VALUE!</v>
      </c>
      <c r="H26" s="68" t="e">
        <f t="shared" si="3"/>
        <v>#VALUE!</v>
      </c>
    </row>
    <row r="27" spans="1:8" ht="18" customHeight="1">
      <c r="A27" s="209" t="s">
        <v>276</v>
      </c>
      <c r="B27" s="192">
        <v>3143</v>
      </c>
      <c r="C27" s="51" t="s">
        <v>152</v>
      </c>
      <c r="D27" s="51" t="s">
        <v>152</v>
      </c>
      <c r="E27" s="51" t="s">
        <v>152</v>
      </c>
      <c r="F27" s="51" t="s">
        <v>152</v>
      </c>
      <c r="G27" s="51" t="e">
        <f t="shared" si="2"/>
        <v>#VALUE!</v>
      </c>
      <c r="H27" s="68" t="e">
        <f t="shared" si="3"/>
        <v>#VALUE!</v>
      </c>
    </row>
    <row r="28" spans="1:8" ht="36" customHeight="1">
      <c r="A28" s="209" t="s">
        <v>282</v>
      </c>
      <c r="B28" s="6">
        <v>3150</v>
      </c>
      <c r="C28" s="69">
        <f>SUM(C29:C34,C37)</f>
        <v>-1283.0999999999999</v>
      </c>
      <c r="D28" s="69">
        <f>SUM(D29:D34,D37)</f>
        <v>-1701.5</v>
      </c>
      <c r="E28" s="69">
        <f>SUM(E29:E34,E37)</f>
        <v>-1150</v>
      </c>
      <c r="F28" s="69">
        <f>SUM(F29:F34,F37)</f>
        <v>-1008.4999999999999</v>
      </c>
      <c r="G28" s="51">
        <f t="shared" si="2"/>
        <v>141.50000000000011</v>
      </c>
      <c r="H28" s="68">
        <f t="shared" si="3"/>
        <v>87.695652173913032</v>
      </c>
    </row>
    <row r="29" spans="1:8" ht="18" customHeight="1">
      <c r="A29" s="209" t="s">
        <v>41</v>
      </c>
      <c r="B29" s="192">
        <v>3151</v>
      </c>
      <c r="C29" s="51" t="s">
        <v>152</v>
      </c>
      <c r="D29" s="51" t="s">
        <v>152</v>
      </c>
      <c r="E29" s="51" t="s">
        <v>152</v>
      </c>
      <c r="F29" s="51" t="s">
        <v>152</v>
      </c>
      <c r="G29" s="51" t="e">
        <f t="shared" si="2"/>
        <v>#VALUE!</v>
      </c>
      <c r="H29" s="68" t="e">
        <f t="shared" si="3"/>
        <v>#VALUE!</v>
      </c>
    </row>
    <row r="30" spans="1:8" ht="18" customHeight="1">
      <c r="A30" s="209" t="s">
        <v>283</v>
      </c>
      <c r="B30" s="192">
        <v>3152</v>
      </c>
      <c r="C30" s="51" t="s">
        <v>152</v>
      </c>
      <c r="D30" s="51">
        <f>-1.6+-2.8</f>
        <v>-4.4000000000000004</v>
      </c>
      <c r="E30" s="51" t="s">
        <v>152</v>
      </c>
      <c r="F30" s="245">
        <v>-2.8</v>
      </c>
      <c r="G30" s="51" t="e">
        <f t="shared" si="2"/>
        <v>#VALUE!</v>
      </c>
      <c r="H30" s="68" t="e">
        <f t="shared" si="3"/>
        <v>#VALUE!</v>
      </c>
    </row>
    <row r="31" spans="1:8" ht="18" customHeight="1">
      <c r="A31" s="209" t="s">
        <v>246</v>
      </c>
      <c r="B31" s="192">
        <v>3153</v>
      </c>
      <c r="C31" s="51" t="s">
        <v>152</v>
      </c>
      <c r="D31" s="51" t="s">
        <v>152</v>
      </c>
      <c r="E31" s="51" t="s">
        <v>152</v>
      </c>
      <c r="F31" s="51" t="s">
        <v>152</v>
      </c>
      <c r="G31" s="51" t="e">
        <f t="shared" si="2"/>
        <v>#VALUE!</v>
      </c>
      <c r="H31" s="68" t="e">
        <f t="shared" si="3"/>
        <v>#VALUE!</v>
      </c>
    </row>
    <row r="32" spans="1:8" ht="18" customHeight="1">
      <c r="A32" s="209" t="s">
        <v>284</v>
      </c>
      <c r="B32" s="192">
        <v>3154</v>
      </c>
      <c r="C32" s="51" t="s">
        <v>152</v>
      </c>
      <c r="D32" s="51" t="s">
        <v>152</v>
      </c>
      <c r="E32" s="51" t="s">
        <v>152</v>
      </c>
      <c r="F32" s="51" t="s">
        <v>152</v>
      </c>
      <c r="G32" s="51" t="e">
        <f t="shared" si="2"/>
        <v>#VALUE!</v>
      </c>
      <c r="H32" s="68" t="e">
        <f t="shared" si="3"/>
        <v>#VALUE!</v>
      </c>
    </row>
    <row r="33" spans="1:8" ht="18" customHeight="1">
      <c r="A33" s="209" t="s">
        <v>249</v>
      </c>
      <c r="B33" s="192">
        <v>3155</v>
      </c>
      <c r="C33" s="51">
        <v>-1235.7</v>
      </c>
      <c r="D33" s="51">
        <f>-563.8+-787.3</f>
        <v>-1351.1</v>
      </c>
      <c r="E33" s="51">
        <v>-900</v>
      </c>
      <c r="F33" s="245">
        <v>-787.3</v>
      </c>
      <c r="G33" s="51">
        <f t="shared" si="2"/>
        <v>112.70000000000005</v>
      </c>
      <c r="H33" s="68">
        <f t="shared" si="3"/>
        <v>87.477777777777774</v>
      </c>
    </row>
    <row r="34" spans="1:8" ht="24.75" customHeight="1">
      <c r="A34" s="141" t="s">
        <v>426</v>
      </c>
      <c r="B34" s="192">
        <v>3156</v>
      </c>
      <c r="C34" s="69">
        <v>-44.1</v>
      </c>
      <c r="D34" s="69">
        <f>-123.9+-218.4</f>
        <v>-342.3</v>
      </c>
      <c r="E34" s="69">
        <v>-250</v>
      </c>
      <c r="F34" s="69">
        <v>-218.4</v>
      </c>
      <c r="G34" s="51">
        <f t="shared" si="2"/>
        <v>31.599999999999994</v>
      </c>
      <c r="H34" s="68">
        <f t="shared" si="3"/>
        <v>87.36</v>
      </c>
    </row>
    <row r="35" spans="1:8" ht="38.25" customHeight="1">
      <c r="A35" s="209" t="s">
        <v>44</v>
      </c>
      <c r="B35" s="192" t="s">
        <v>285</v>
      </c>
      <c r="C35" s="51" t="s">
        <v>152</v>
      </c>
      <c r="D35" s="51" t="s">
        <v>152</v>
      </c>
      <c r="E35" s="51" t="s">
        <v>152</v>
      </c>
      <c r="F35" s="51" t="s">
        <v>152</v>
      </c>
      <c r="G35" s="51" t="e">
        <f t="shared" si="2"/>
        <v>#VALUE!</v>
      </c>
      <c r="H35" s="68" t="e">
        <f t="shared" si="3"/>
        <v>#VALUE!</v>
      </c>
    </row>
    <row r="36" spans="1:8" ht="55.5" customHeight="1">
      <c r="A36" s="209" t="s">
        <v>45</v>
      </c>
      <c r="B36" s="192" t="s">
        <v>286</v>
      </c>
      <c r="C36" s="51" t="s">
        <v>152</v>
      </c>
      <c r="D36" s="51" t="s">
        <v>152</v>
      </c>
      <c r="E36" s="51" t="s">
        <v>152</v>
      </c>
      <c r="F36" s="51" t="s">
        <v>152</v>
      </c>
      <c r="G36" s="51" t="e">
        <f t="shared" si="2"/>
        <v>#VALUE!</v>
      </c>
      <c r="H36" s="68" t="e">
        <f t="shared" si="3"/>
        <v>#VALUE!</v>
      </c>
    </row>
    <row r="37" spans="1:8" ht="18" customHeight="1">
      <c r="A37" s="209" t="s">
        <v>425</v>
      </c>
      <c r="B37" s="192">
        <v>3157</v>
      </c>
      <c r="C37" s="51">
        <v>-3.3</v>
      </c>
      <c r="D37" s="51">
        <f>-3.7</f>
        <v>-3.7</v>
      </c>
      <c r="E37" s="51" t="s">
        <v>152</v>
      </c>
      <c r="F37" s="51" t="s">
        <v>152</v>
      </c>
      <c r="G37" s="51" t="e">
        <f t="shared" si="2"/>
        <v>#VALUE!</v>
      </c>
      <c r="H37" s="68" t="e">
        <f t="shared" si="3"/>
        <v>#VALUE!</v>
      </c>
    </row>
    <row r="38" spans="1:8" ht="18" customHeight="1">
      <c r="A38" s="209" t="s">
        <v>287</v>
      </c>
      <c r="B38" s="6">
        <v>3160</v>
      </c>
      <c r="C38" s="51" t="s">
        <v>152</v>
      </c>
      <c r="D38" s="51" t="s">
        <v>152</v>
      </c>
      <c r="E38" s="51" t="s">
        <v>152</v>
      </c>
      <c r="F38" s="51" t="s">
        <v>152</v>
      </c>
      <c r="G38" s="51" t="e">
        <f t="shared" si="2"/>
        <v>#VALUE!</v>
      </c>
      <c r="H38" s="68" t="e">
        <f t="shared" si="3"/>
        <v>#VALUE!</v>
      </c>
    </row>
    <row r="39" spans="1:8" ht="18" customHeight="1">
      <c r="A39" s="209" t="s">
        <v>438</v>
      </c>
      <c r="B39" s="6">
        <v>3170</v>
      </c>
      <c r="C39" s="51" t="s">
        <v>152</v>
      </c>
      <c r="D39" s="51">
        <f>-78.5+-80</f>
        <v>-158.5</v>
      </c>
      <c r="E39" s="51">
        <v>-50</v>
      </c>
      <c r="F39" s="51">
        <v>-80</v>
      </c>
      <c r="G39" s="51">
        <f t="shared" si="2"/>
        <v>-30</v>
      </c>
      <c r="H39" s="68">
        <f t="shared" si="3"/>
        <v>160</v>
      </c>
    </row>
    <row r="40" spans="1:8" ht="20.100000000000001" customHeight="1">
      <c r="A40" s="193" t="s">
        <v>288</v>
      </c>
      <c r="B40" s="7">
        <v>3195</v>
      </c>
      <c r="C40" s="204">
        <f>SUM(C7,C20)</f>
        <v>350.69999999999891</v>
      </c>
      <c r="D40" s="204">
        <f>SUM(D7,D20)</f>
        <v>1704.8999999999996</v>
      </c>
      <c r="E40" s="204">
        <f>SUM(E7,E20)</f>
        <v>40</v>
      </c>
      <c r="F40" s="204">
        <f>SUM(F7,F20)</f>
        <v>222.5</v>
      </c>
      <c r="G40" s="56">
        <f>F40-E40</f>
        <v>182.5</v>
      </c>
      <c r="H40" s="70">
        <f>(F40/E40)*100</f>
        <v>556.25</v>
      </c>
    </row>
    <row r="41" spans="1:8" ht="20.100000000000001" customHeight="1">
      <c r="A41" s="152" t="s">
        <v>289</v>
      </c>
      <c r="B41" s="201"/>
      <c r="C41" s="201"/>
      <c r="D41" s="308"/>
      <c r="E41" s="309"/>
      <c r="F41" s="309"/>
      <c r="G41" s="309"/>
      <c r="H41" s="310"/>
    </row>
    <row r="42" spans="1:8" ht="20.100000000000001" customHeight="1">
      <c r="A42" s="66" t="s">
        <v>290</v>
      </c>
      <c r="B42" s="63">
        <v>3200</v>
      </c>
      <c r="C42" s="204">
        <f>SUM(C43,C45:C49)</f>
        <v>0</v>
      </c>
      <c r="D42" s="204">
        <f>SUM(D43,D45:D49)</f>
        <v>410.4</v>
      </c>
      <c r="E42" s="204">
        <f>SUM(E43,E45:E49)</f>
        <v>1000</v>
      </c>
      <c r="F42" s="204">
        <f>SUM(F43,F45:F49)</f>
        <v>410.4</v>
      </c>
      <c r="G42" s="56">
        <f>F42-E42</f>
        <v>-589.6</v>
      </c>
      <c r="H42" s="70">
        <f>(F42/E42)*100</f>
        <v>41.04</v>
      </c>
    </row>
    <row r="43" spans="1:8" ht="18" customHeight="1">
      <c r="A43" s="209" t="s">
        <v>291</v>
      </c>
      <c r="B43" s="192">
        <v>3210</v>
      </c>
      <c r="C43" s="51"/>
      <c r="D43" s="51"/>
      <c r="E43" s="51"/>
      <c r="F43" s="51"/>
      <c r="G43" s="51">
        <f>F43-E43</f>
        <v>0</v>
      </c>
      <c r="H43" s="68" t="e">
        <f>(F43/E43)*100</f>
        <v>#DIV/0!</v>
      </c>
    </row>
    <row r="44" spans="1:8" ht="18" customHeight="1">
      <c r="A44" s="209" t="s">
        <v>292</v>
      </c>
      <c r="B44" s="6">
        <v>3215</v>
      </c>
      <c r="C44" s="51"/>
      <c r="D44" s="51"/>
      <c r="E44" s="51"/>
      <c r="F44" s="51"/>
      <c r="G44" s="51">
        <f t="shared" ref="G44:G49" si="4">F44-E44</f>
        <v>0</v>
      </c>
      <c r="H44" s="68" t="e">
        <f t="shared" ref="H44:H49" si="5">(F44/E44)*100</f>
        <v>#DIV/0!</v>
      </c>
    </row>
    <row r="45" spans="1:8" ht="18" customHeight="1">
      <c r="A45" s="209" t="s">
        <v>293</v>
      </c>
      <c r="B45" s="6">
        <v>3220</v>
      </c>
      <c r="C45" s="51"/>
      <c r="D45" s="51"/>
      <c r="E45" s="51"/>
      <c r="F45" s="51"/>
      <c r="G45" s="51">
        <f t="shared" si="4"/>
        <v>0</v>
      </c>
      <c r="H45" s="68" t="e">
        <f t="shared" si="5"/>
        <v>#DIV/0!</v>
      </c>
    </row>
    <row r="46" spans="1:8" ht="18" customHeight="1">
      <c r="A46" s="209" t="s">
        <v>294</v>
      </c>
      <c r="B46" s="6">
        <v>3225</v>
      </c>
      <c r="C46" s="51"/>
      <c r="D46" s="51"/>
      <c r="E46" s="51"/>
      <c r="F46" s="51"/>
      <c r="G46" s="51">
        <f t="shared" si="4"/>
        <v>0</v>
      </c>
      <c r="H46" s="68" t="e">
        <f t="shared" si="5"/>
        <v>#DIV/0!</v>
      </c>
    </row>
    <row r="47" spans="1:8" ht="18" customHeight="1">
      <c r="A47" s="209" t="s">
        <v>295</v>
      </c>
      <c r="B47" s="6">
        <v>3230</v>
      </c>
      <c r="C47" s="51"/>
      <c r="D47" s="51"/>
      <c r="E47" s="51"/>
      <c r="F47" s="51"/>
      <c r="G47" s="51">
        <f t="shared" si="4"/>
        <v>0</v>
      </c>
      <c r="H47" s="68" t="e">
        <f t="shared" si="5"/>
        <v>#DIV/0!</v>
      </c>
    </row>
    <row r="48" spans="1:8" ht="18" customHeight="1">
      <c r="A48" s="209" t="s">
        <v>296</v>
      </c>
      <c r="B48" s="6">
        <v>3235</v>
      </c>
      <c r="C48" s="51"/>
      <c r="D48" s="51"/>
      <c r="E48" s="51"/>
      <c r="F48" s="51"/>
      <c r="G48" s="51">
        <f t="shared" si="4"/>
        <v>0</v>
      </c>
      <c r="H48" s="68" t="e">
        <f t="shared" si="5"/>
        <v>#DIV/0!</v>
      </c>
    </row>
    <row r="49" spans="1:8" ht="18" customHeight="1">
      <c r="A49" s="209" t="s">
        <v>427</v>
      </c>
      <c r="B49" s="6">
        <v>3240</v>
      </c>
      <c r="C49" s="51"/>
      <c r="D49" s="51">
        <v>410.4</v>
      </c>
      <c r="E49" s="51">
        <v>1000</v>
      </c>
      <c r="F49" s="51">
        <v>410.4</v>
      </c>
      <c r="G49" s="51">
        <f t="shared" si="4"/>
        <v>-589.6</v>
      </c>
      <c r="H49" s="68">
        <f t="shared" si="5"/>
        <v>41.04</v>
      </c>
    </row>
    <row r="50" spans="1:8" ht="20.100000000000001" customHeight="1">
      <c r="A50" s="193" t="s">
        <v>297</v>
      </c>
      <c r="B50" s="7">
        <v>3255</v>
      </c>
      <c r="C50" s="204">
        <f>SUM(C51,C53,C58,C59)</f>
        <v>0</v>
      </c>
      <c r="D50" s="204">
        <f>SUM(D51,D53,D58,D59)</f>
        <v>-410.4</v>
      </c>
      <c r="E50" s="204">
        <f>SUM(E51,E53,E58,E59)</f>
        <v>-1000</v>
      </c>
      <c r="F50" s="204">
        <f>SUM(F51,F53,F58,F59)</f>
        <v>-410.4</v>
      </c>
      <c r="G50" s="56">
        <f>F50-E50</f>
        <v>589.6</v>
      </c>
      <c r="H50" s="70">
        <f>(F50/E50)*100</f>
        <v>41.04</v>
      </c>
    </row>
    <row r="51" spans="1:8" ht="18" customHeight="1">
      <c r="A51" s="209" t="s">
        <v>298</v>
      </c>
      <c r="B51" s="6">
        <v>3260</v>
      </c>
      <c r="C51" s="51" t="s">
        <v>152</v>
      </c>
      <c r="D51" s="51" t="s">
        <v>152</v>
      </c>
      <c r="E51" s="51" t="s">
        <v>152</v>
      </c>
      <c r="F51" s="51" t="s">
        <v>152</v>
      </c>
      <c r="G51" s="51" t="e">
        <f>F51-E51</f>
        <v>#VALUE!</v>
      </c>
      <c r="H51" s="68" t="e">
        <f>(F51/E51)*100</f>
        <v>#VALUE!</v>
      </c>
    </row>
    <row r="52" spans="1:8" ht="18" customHeight="1">
      <c r="A52" s="209" t="s">
        <v>299</v>
      </c>
      <c r="B52" s="6">
        <v>3265</v>
      </c>
      <c r="C52" s="51" t="s">
        <v>152</v>
      </c>
      <c r="D52" s="51" t="s">
        <v>152</v>
      </c>
      <c r="E52" s="51" t="s">
        <v>152</v>
      </c>
      <c r="F52" s="51" t="s">
        <v>152</v>
      </c>
      <c r="G52" s="51" t="e">
        <f t="shared" ref="G52:G59" si="6">F52-E52</f>
        <v>#VALUE!</v>
      </c>
      <c r="H52" s="68" t="e">
        <f t="shared" ref="H52:H59" si="7">(F52/E52)*100</f>
        <v>#VALUE!</v>
      </c>
    </row>
    <row r="53" spans="1:8" ht="18" customHeight="1">
      <c r="A53" s="209" t="s">
        <v>300</v>
      </c>
      <c r="B53" s="6">
        <v>3270</v>
      </c>
      <c r="C53" s="69">
        <f>SUM(C54:C57)</f>
        <v>0</v>
      </c>
      <c r="D53" s="69">
        <f>SUM(D54:D57)</f>
        <v>0</v>
      </c>
      <c r="E53" s="69">
        <f>SUM(E54:E57)</f>
        <v>0</v>
      </c>
      <c r="F53" s="69">
        <f>SUM(F54:F57)</f>
        <v>0</v>
      </c>
      <c r="G53" s="51">
        <f t="shared" si="6"/>
        <v>0</v>
      </c>
      <c r="H53" s="68" t="e">
        <f t="shared" si="7"/>
        <v>#DIV/0!</v>
      </c>
    </row>
    <row r="54" spans="1:8" ht="18" customHeight="1">
      <c r="A54" s="209" t="s">
        <v>301</v>
      </c>
      <c r="B54" s="6">
        <v>3271</v>
      </c>
      <c r="C54" s="51" t="s">
        <v>152</v>
      </c>
      <c r="D54" s="51" t="s">
        <v>152</v>
      </c>
      <c r="E54" s="51" t="s">
        <v>152</v>
      </c>
      <c r="F54" s="51"/>
      <c r="G54" s="51" t="e">
        <f t="shared" si="6"/>
        <v>#VALUE!</v>
      </c>
      <c r="H54" s="68" t="e">
        <f t="shared" si="7"/>
        <v>#VALUE!</v>
      </c>
    </row>
    <row r="55" spans="1:8" ht="18" customHeight="1">
      <c r="A55" s="209" t="s">
        <v>302</v>
      </c>
      <c r="B55" s="6">
        <v>3272</v>
      </c>
      <c r="C55" s="51" t="s">
        <v>152</v>
      </c>
      <c r="D55" s="51" t="s">
        <v>152</v>
      </c>
      <c r="E55" s="51" t="s">
        <v>152</v>
      </c>
      <c r="F55" s="51" t="s">
        <v>152</v>
      </c>
      <c r="G55" s="51" t="e">
        <f t="shared" si="6"/>
        <v>#VALUE!</v>
      </c>
      <c r="H55" s="68" t="e">
        <f t="shared" si="7"/>
        <v>#VALUE!</v>
      </c>
    </row>
    <row r="56" spans="1:8" ht="18" customHeight="1">
      <c r="A56" s="209" t="s">
        <v>303</v>
      </c>
      <c r="B56" s="6">
        <v>3273</v>
      </c>
      <c r="C56" s="51" t="s">
        <v>152</v>
      </c>
      <c r="D56" s="51" t="s">
        <v>152</v>
      </c>
      <c r="E56" s="51" t="s">
        <v>152</v>
      </c>
      <c r="F56" s="51" t="s">
        <v>152</v>
      </c>
      <c r="G56" s="51" t="e">
        <f t="shared" si="6"/>
        <v>#VALUE!</v>
      </c>
      <c r="H56" s="68" t="e">
        <f t="shared" si="7"/>
        <v>#VALUE!</v>
      </c>
    </row>
    <row r="57" spans="1:8" ht="18" customHeight="1">
      <c r="A57" s="209" t="s">
        <v>304</v>
      </c>
      <c r="B57" s="6">
        <v>3274</v>
      </c>
      <c r="C57" s="51" t="s">
        <v>152</v>
      </c>
      <c r="D57" s="51" t="s">
        <v>152</v>
      </c>
      <c r="E57" s="51" t="s">
        <v>152</v>
      </c>
      <c r="F57" s="51"/>
      <c r="G57" s="51" t="e">
        <f>F57-E57</f>
        <v>#VALUE!</v>
      </c>
      <c r="H57" s="68" t="e">
        <f>(F57/E57)*100</f>
        <v>#VALUE!</v>
      </c>
    </row>
    <row r="58" spans="1:8" ht="18" customHeight="1">
      <c r="A58" s="209" t="s">
        <v>305</v>
      </c>
      <c r="B58" s="6">
        <v>3280</v>
      </c>
      <c r="C58" s="51" t="s">
        <v>152</v>
      </c>
      <c r="D58" s="51" t="s">
        <v>152</v>
      </c>
      <c r="E58" s="51" t="s">
        <v>152</v>
      </c>
      <c r="F58" s="51" t="s">
        <v>152</v>
      </c>
      <c r="G58" s="51" t="e">
        <f t="shared" si="6"/>
        <v>#VALUE!</v>
      </c>
      <c r="H58" s="68" t="e">
        <f t="shared" si="7"/>
        <v>#VALUE!</v>
      </c>
    </row>
    <row r="59" spans="1:8" ht="18" customHeight="1">
      <c r="A59" s="209" t="s">
        <v>428</v>
      </c>
      <c r="B59" s="6">
        <v>3290</v>
      </c>
      <c r="C59" s="51" t="s">
        <v>152</v>
      </c>
      <c r="D59" s="51">
        <v>-410.4</v>
      </c>
      <c r="E59" s="51">
        <v>-1000</v>
      </c>
      <c r="F59" s="51">
        <v>-410.4</v>
      </c>
      <c r="G59" s="51">
        <f t="shared" si="6"/>
        <v>589.6</v>
      </c>
      <c r="H59" s="68">
        <f t="shared" si="7"/>
        <v>41.04</v>
      </c>
    </row>
    <row r="60" spans="1:8" ht="20.100000000000001" customHeight="1">
      <c r="A60" s="67" t="s">
        <v>307</v>
      </c>
      <c r="B60" s="64">
        <v>3295</v>
      </c>
      <c r="C60" s="81">
        <f>SUM(C42,C50)</f>
        <v>0</v>
      </c>
      <c r="D60" s="81">
        <f>SUM(D42,D50)</f>
        <v>0</v>
      </c>
      <c r="E60" s="81">
        <f>SUM(E42,E50)</f>
        <v>0</v>
      </c>
      <c r="F60" s="81">
        <f>SUM(F42,F50)</f>
        <v>0</v>
      </c>
      <c r="G60" s="82">
        <f>F60-E60</f>
        <v>0</v>
      </c>
      <c r="H60" s="83" t="e">
        <f>(F60/E60)*100</f>
        <v>#DIV/0!</v>
      </c>
    </row>
    <row r="61" spans="1:8" ht="20.100000000000001" customHeight="1">
      <c r="A61" s="152" t="s">
        <v>308</v>
      </c>
      <c r="B61" s="201"/>
      <c r="C61" s="201"/>
      <c r="D61" s="201"/>
      <c r="E61" s="201"/>
      <c r="F61" s="201"/>
      <c r="G61" s="61"/>
      <c r="H61" s="85"/>
    </row>
    <row r="62" spans="1:8" ht="20.100000000000001" customHeight="1">
      <c r="A62" s="66" t="s">
        <v>309</v>
      </c>
      <c r="B62" s="63">
        <v>3300</v>
      </c>
      <c r="C62" s="58">
        <f>SUM(C63,C64,C68)</f>
        <v>0</v>
      </c>
      <c r="D62" s="58">
        <f>SUM(D63,D64,D68)</f>
        <v>0</v>
      </c>
      <c r="E62" s="58">
        <f>SUM(E63,E64,E68)</f>
        <v>0</v>
      </c>
      <c r="F62" s="58">
        <f>SUM(F63,F64,F68)</f>
        <v>0</v>
      </c>
      <c r="G62" s="62">
        <f t="shared" ref="G62:G70" si="8">F62-E62</f>
        <v>0</v>
      </c>
      <c r="H62" s="84" t="e">
        <f t="shared" ref="H62:H70" si="9">(F62/E62)*100</f>
        <v>#DIV/0!</v>
      </c>
    </row>
    <row r="63" spans="1:8" ht="18" customHeight="1">
      <c r="A63" s="209" t="s">
        <v>310</v>
      </c>
      <c r="B63" s="6">
        <v>3305</v>
      </c>
      <c r="C63" s="51"/>
      <c r="D63" s="51"/>
      <c r="E63" s="51"/>
      <c r="F63" s="51"/>
      <c r="G63" s="51">
        <f t="shared" si="8"/>
        <v>0</v>
      </c>
      <c r="H63" s="68" t="e">
        <f t="shared" si="9"/>
        <v>#DIV/0!</v>
      </c>
    </row>
    <row r="64" spans="1:8" ht="18" customHeight="1">
      <c r="A64" s="209" t="s">
        <v>311</v>
      </c>
      <c r="B64" s="6">
        <v>3310</v>
      </c>
      <c r="C64" s="69">
        <f>SUM(C65:C67)</f>
        <v>0</v>
      </c>
      <c r="D64" s="69">
        <f>SUM(D65:D67)</f>
        <v>0</v>
      </c>
      <c r="E64" s="69">
        <f>SUM(E65:E67)</f>
        <v>0</v>
      </c>
      <c r="F64" s="69">
        <f>SUM(F65:F67)</f>
        <v>0</v>
      </c>
      <c r="G64" s="51">
        <f t="shared" si="8"/>
        <v>0</v>
      </c>
      <c r="H64" s="68" t="e">
        <f t="shared" si="9"/>
        <v>#DIV/0!</v>
      </c>
    </row>
    <row r="65" spans="1:8" ht="18" customHeight="1">
      <c r="A65" s="209" t="s">
        <v>274</v>
      </c>
      <c r="B65" s="192">
        <v>3311</v>
      </c>
      <c r="C65" s="51"/>
      <c r="D65" s="51"/>
      <c r="E65" s="51"/>
      <c r="F65" s="51"/>
      <c r="G65" s="51">
        <f t="shared" si="8"/>
        <v>0</v>
      </c>
      <c r="H65" s="68" t="e">
        <f t="shared" si="9"/>
        <v>#DIV/0!</v>
      </c>
    </row>
    <row r="66" spans="1:8" ht="18" customHeight="1">
      <c r="A66" s="209" t="s">
        <v>275</v>
      </c>
      <c r="B66" s="192">
        <v>3312</v>
      </c>
      <c r="C66" s="51"/>
      <c r="D66" s="51"/>
      <c r="E66" s="51"/>
      <c r="F66" s="51"/>
      <c r="G66" s="51">
        <f t="shared" si="8"/>
        <v>0</v>
      </c>
      <c r="H66" s="68" t="e">
        <f t="shared" si="9"/>
        <v>#DIV/0!</v>
      </c>
    </row>
    <row r="67" spans="1:8" ht="18" customHeight="1">
      <c r="A67" s="209" t="s">
        <v>276</v>
      </c>
      <c r="B67" s="192">
        <v>3313</v>
      </c>
      <c r="C67" s="51"/>
      <c r="D67" s="51"/>
      <c r="E67" s="51"/>
      <c r="F67" s="51"/>
      <c r="G67" s="51">
        <f t="shared" si="8"/>
        <v>0</v>
      </c>
      <c r="H67" s="68" t="e">
        <f t="shared" si="9"/>
        <v>#DIV/0!</v>
      </c>
    </row>
    <row r="68" spans="1:8" ht="18" customHeight="1">
      <c r="A68" s="209" t="s">
        <v>277</v>
      </c>
      <c r="B68" s="6">
        <v>3320</v>
      </c>
      <c r="C68" s="51"/>
      <c r="D68" s="51"/>
      <c r="E68" s="51"/>
      <c r="F68" s="51"/>
      <c r="G68" s="51">
        <f t="shared" si="8"/>
        <v>0</v>
      </c>
      <c r="H68" s="68" t="e">
        <f t="shared" si="9"/>
        <v>#DIV/0!</v>
      </c>
    </row>
    <row r="69" spans="1:8" ht="20.100000000000001" customHeight="1">
      <c r="A69" s="193" t="s">
        <v>312</v>
      </c>
      <c r="B69" s="7">
        <v>3330</v>
      </c>
      <c r="C69" s="204">
        <f>SUM(C70,C71,C75:C78)</f>
        <v>0</v>
      </c>
      <c r="D69" s="204">
        <f>SUM(D70,D71,D75:D78)</f>
        <v>0</v>
      </c>
      <c r="E69" s="204">
        <f>SUM(E70,E71,E75:E78)</f>
        <v>0</v>
      </c>
      <c r="F69" s="204">
        <f>SUM(F70,F71,F75:F78)</f>
        <v>0</v>
      </c>
      <c r="G69" s="56">
        <f t="shared" si="8"/>
        <v>0</v>
      </c>
      <c r="H69" s="70" t="e">
        <f t="shared" si="9"/>
        <v>#DIV/0!</v>
      </c>
    </row>
    <row r="70" spans="1:8" ht="18" customHeight="1">
      <c r="A70" s="209" t="s">
        <v>313</v>
      </c>
      <c r="B70" s="6">
        <v>3335</v>
      </c>
      <c r="C70" s="51" t="s">
        <v>152</v>
      </c>
      <c r="D70" s="51" t="s">
        <v>152</v>
      </c>
      <c r="E70" s="51" t="s">
        <v>152</v>
      </c>
      <c r="F70" s="51" t="s">
        <v>152</v>
      </c>
      <c r="G70" s="51" t="e">
        <f t="shared" si="8"/>
        <v>#VALUE!</v>
      </c>
      <c r="H70" s="68" t="e">
        <f t="shared" si="9"/>
        <v>#VALUE!</v>
      </c>
    </row>
    <row r="71" spans="1:8" ht="18" customHeight="1">
      <c r="A71" s="209" t="s">
        <v>314</v>
      </c>
      <c r="B71" s="192">
        <v>3340</v>
      </c>
      <c r="C71" s="69">
        <f>SUM(C72:C74)</f>
        <v>0</v>
      </c>
      <c r="D71" s="69">
        <f>SUM(D72:D74)</f>
        <v>0</v>
      </c>
      <c r="E71" s="69">
        <f>SUM(E72:E74)</f>
        <v>0</v>
      </c>
      <c r="F71" s="69">
        <f>SUM(F72:F74)</f>
        <v>0</v>
      </c>
      <c r="G71" s="51">
        <f t="shared" ref="G71:G78" si="10">F71-E71</f>
        <v>0</v>
      </c>
      <c r="H71" s="68" t="e">
        <f t="shared" ref="H71:H78" si="11">(F71/E71)*100</f>
        <v>#DIV/0!</v>
      </c>
    </row>
    <row r="72" spans="1:8" ht="18" customHeight="1">
      <c r="A72" s="209" t="s">
        <v>274</v>
      </c>
      <c r="B72" s="192">
        <v>3341</v>
      </c>
      <c r="C72" s="51" t="s">
        <v>152</v>
      </c>
      <c r="D72" s="51" t="s">
        <v>152</v>
      </c>
      <c r="E72" s="51" t="s">
        <v>152</v>
      </c>
      <c r="F72" s="51" t="s">
        <v>152</v>
      </c>
      <c r="G72" s="51" t="e">
        <f t="shared" si="10"/>
        <v>#VALUE!</v>
      </c>
      <c r="H72" s="68" t="e">
        <f t="shared" si="11"/>
        <v>#VALUE!</v>
      </c>
    </row>
    <row r="73" spans="1:8" ht="18" customHeight="1">
      <c r="A73" s="209" t="s">
        <v>275</v>
      </c>
      <c r="B73" s="192">
        <v>3342</v>
      </c>
      <c r="C73" s="51" t="s">
        <v>152</v>
      </c>
      <c r="D73" s="51" t="s">
        <v>152</v>
      </c>
      <c r="E73" s="51" t="s">
        <v>152</v>
      </c>
      <c r="F73" s="51" t="s">
        <v>152</v>
      </c>
      <c r="G73" s="51" t="e">
        <f t="shared" si="10"/>
        <v>#VALUE!</v>
      </c>
      <c r="H73" s="68" t="e">
        <f t="shared" si="11"/>
        <v>#VALUE!</v>
      </c>
    </row>
    <row r="74" spans="1:8" ht="18" customHeight="1">
      <c r="A74" s="209" t="s">
        <v>276</v>
      </c>
      <c r="B74" s="192">
        <v>3343</v>
      </c>
      <c r="C74" s="51" t="s">
        <v>152</v>
      </c>
      <c r="D74" s="51" t="s">
        <v>152</v>
      </c>
      <c r="E74" s="51" t="s">
        <v>152</v>
      </c>
      <c r="F74" s="51" t="s">
        <v>152</v>
      </c>
      <c r="G74" s="51" t="e">
        <f t="shared" si="10"/>
        <v>#VALUE!</v>
      </c>
      <c r="H74" s="68" t="e">
        <f t="shared" si="11"/>
        <v>#VALUE!</v>
      </c>
    </row>
    <row r="75" spans="1:8" ht="18" customHeight="1">
      <c r="A75" s="209" t="s">
        <v>315</v>
      </c>
      <c r="B75" s="192">
        <v>3350</v>
      </c>
      <c r="C75" s="51" t="s">
        <v>152</v>
      </c>
      <c r="D75" s="51" t="s">
        <v>152</v>
      </c>
      <c r="E75" s="51" t="s">
        <v>152</v>
      </c>
      <c r="F75" s="51" t="s">
        <v>152</v>
      </c>
      <c r="G75" s="51" t="e">
        <f t="shared" si="10"/>
        <v>#VALUE!</v>
      </c>
      <c r="H75" s="68" t="e">
        <f t="shared" si="11"/>
        <v>#VALUE!</v>
      </c>
    </row>
    <row r="76" spans="1:8" ht="21.75" customHeight="1">
      <c r="A76" s="209" t="s">
        <v>316</v>
      </c>
      <c r="B76" s="192">
        <v>3360</v>
      </c>
      <c r="C76" s="51" t="s">
        <v>152</v>
      </c>
      <c r="D76" s="51" t="s">
        <v>152</v>
      </c>
      <c r="E76" s="51" t="s">
        <v>152</v>
      </c>
      <c r="F76" s="51" t="s">
        <v>152</v>
      </c>
      <c r="G76" s="51" t="e">
        <f t="shared" si="10"/>
        <v>#VALUE!</v>
      </c>
      <c r="H76" s="68" t="e">
        <f t="shared" si="11"/>
        <v>#VALUE!</v>
      </c>
    </row>
    <row r="77" spans="1:8" ht="23.25" customHeight="1">
      <c r="A77" s="209" t="s">
        <v>317</v>
      </c>
      <c r="B77" s="192">
        <v>3370</v>
      </c>
      <c r="C77" s="51" t="s">
        <v>152</v>
      </c>
      <c r="D77" s="51" t="s">
        <v>152</v>
      </c>
      <c r="E77" s="51" t="s">
        <v>152</v>
      </c>
      <c r="F77" s="51" t="s">
        <v>152</v>
      </c>
      <c r="G77" s="51" t="e">
        <f t="shared" si="10"/>
        <v>#VALUE!</v>
      </c>
      <c r="H77" s="68" t="e">
        <f t="shared" si="11"/>
        <v>#VALUE!</v>
      </c>
    </row>
    <row r="78" spans="1:8" ht="18" customHeight="1">
      <c r="A78" s="209" t="s">
        <v>306</v>
      </c>
      <c r="B78" s="6">
        <v>3380</v>
      </c>
      <c r="C78" s="51" t="s">
        <v>152</v>
      </c>
      <c r="D78" s="51" t="s">
        <v>152</v>
      </c>
      <c r="E78" s="51" t="s">
        <v>152</v>
      </c>
      <c r="F78" s="51" t="s">
        <v>152</v>
      </c>
      <c r="G78" s="51" t="e">
        <f t="shared" si="10"/>
        <v>#VALUE!</v>
      </c>
      <c r="H78" s="68" t="e">
        <f t="shared" si="11"/>
        <v>#VALUE!</v>
      </c>
    </row>
    <row r="79" spans="1:8" ht="20.100000000000001" customHeight="1">
      <c r="A79" s="193" t="s">
        <v>318</v>
      </c>
      <c r="B79" s="7">
        <v>3395</v>
      </c>
      <c r="C79" s="204">
        <f>SUM(C62,C69)</f>
        <v>0</v>
      </c>
      <c r="D79" s="204">
        <f>SUM(D62,D69)</f>
        <v>0</v>
      </c>
      <c r="E79" s="204">
        <f>SUM(E62,E69)</f>
        <v>0</v>
      </c>
      <c r="F79" s="204">
        <f>SUM(F62,F69)</f>
        <v>0</v>
      </c>
      <c r="G79" s="56">
        <f>F79-E79</f>
        <v>0</v>
      </c>
      <c r="H79" s="70" t="e">
        <f>(F79/E79)*100</f>
        <v>#DIV/0!</v>
      </c>
    </row>
    <row r="80" spans="1:8" ht="20.100000000000001" customHeight="1">
      <c r="A80" s="193" t="s">
        <v>319</v>
      </c>
      <c r="B80" s="7">
        <v>3400</v>
      </c>
      <c r="C80" s="204">
        <f>SUM(C40,C60,C79)</f>
        <v>350.69999999999891</v>
      </c>
      <c r="D80" s="204">
        <f>SUM(D40,D60,D79)</f>
        <v>1704.8999999999996</v>
      </c>
      <c r="E80" s="204">
        <f>SUM(E40,E60,E79)</f>
        <v>40</v>
      </c>
      <c r="F80" s="204">
        <f>SUM(F40,F60,F79)</f>
        <v>222.5</v>
      </c>
      <c r="G80" s="56">
        <f>F80-E80</f>
        <v>182.5</v>
      </c>
      <c r="H80" s="70">
        <f>(F80/E80)*100</f>
        <v>556.25</v>
      </c>
    </row>
    <row r="81" spans="1:8" ht="20.100000000000001" customHeight="1">
      <c r="A81" s="209" t="s">
        <v>320</v>
      </c>
      <c r="B81" s="6">
        <v>3405</v>
      </c>
      <c r="C81" s="51">
        <v>111</v>
      </c>
      <c r="D81" s="51">
        <v>482.2</v>
      </c>
      <c r="E81" s="51">
        <v>403</v>
      </c>
      <c r="F81" s="51">
        <v>1964.5</v>
      </c>
      <c r="G81" s="51">
        <f>F81-E81</f>
        <v>1561.5</v>
      </c>
      <c r="H81" s="68">
        <f>(F81/E81)*100</f>
        <v>487.46898263027293</v>
      </c>
    </row>
    <row r="82" spans="1:8" ht="20.100000000000001" customHeight="1">
      <c r="A82" s="45" t="s">
        <v>321</v>
      </c>
      <c r="B82" s="6">
        <v>3410</v>
      </c>
      <c r="C82" s="51"/>
      <c r="D82" s="51"/>
      <c r="E82" s="51"/>
      <c r="F82" s="51"/>
      <c r="G82" s="51">
        <f>F82-E82</f>
        <v>0</v>
      </c>
      <c r="H82" s="68" t="e">
        <f>(F82/E82)*100</f>
        <v>#DIV/0!</v>
      </c>
    </row>
    <row r="83" spans="1:8" ht="20.100000000000001" customHeight="1">
      <c r="A83" s="209" t="s">
        <v>322</v>
      </c>
      <c r="B83" s="6">
        <v>3415</v>
      </c>
      <c r="C83" s="57">
        <f>SUM(C81,C80,C82)</f>
        <v>461.69999999999891</v>
      </c>
      <c r="D83" s="57">
        <f>SUM(D81,D80,D82)</f>
        <v>2187.0999999999995</v>
      </c>
      <c r="E83" s="57">
        <f>SUM(E81,E80,E82)</f>
        <v>443</v>
      </c>
      <c r="F83" s="57">
        <f>SUM(F81,F80,F82)</f>
        <v>2187</v>
      </c>
      <c r="G83" s="51">
        <f>F83-E83</f>
        <v>1744</v>
      </c>
      <c r="H83" s="68">
        <f>(F83/E83)*100</f>
        <v>493.67945823927766</v>
      </c>
    </row>
    <row r="84" spans="1:8" ht="15.75" customHeight="1">
      <c r="A84" s="188"/>
      <c r="B84" s="1"/>
      <c r="C84" s="72"/>
      <c r="D84" s="72"/>
      <c r="E84" s="72"/>
      <c r="F84" s="72"/>
      <c r="G84" s="72"/>
      <c r="H84" s="80"/>
    </row>
    <row r="85" spans="1:8" s="11" customFormat="1" ht="15" customHeight="1">
      <c r="A85" s="2"/>
      <c r="B85" s="19"/>
      <c r="C85" s="19"/>
      <c r="D85" s="19"/>
      <c r="E85" s="19"/>
      <c r="F85" s="19"/>
      <c r="G85" s="19"/>
      <c r="H85" s="19"/>
    </row>
    <row r="86" spans="1:8" s="3" customFormat="1" ht="21.75" customHeight="1">
      <c r="A86" s="243" t="s">
        <v>437</v>
      </c>
      <c r="B86" s="1"/>
      <c r="C86" s="252" t="s">
        <v>223</v>
      </c>
      <c r="D86" s="252"/>
      <c r="E86" s="44"/>
      <c r="F86" s="210"/>
      <c r="G86" s="210"/>
      <c r="H86" s="210"/>
    </row>
    <row r="87" spans="1:8">
      <c r="A87" s="196"/>
      <c r="B87" s="210"/>
      <c r="C87" s="253" t="s">
        <v>123</v>
      </c>
      <c r="D87" s="253"/>
      <c r="E87" s="210"/>
      <c r="F87" s="293" t="s">
        <v>431</v>
      </c>
      <c r="G87" s="293"/>
      <c r="H87" s="293"/>
    </row>
  </sheetData>
  <mergeCells count="9">
    <mergeCell ref="C87:D87"/>
    <mergeCell ref="A1:H1"/>
    <mergeCell ref="A3:A4"/>
    <mergeCell ref="B3:B4"/>
    <mergeCell ref="C3:D3"/>
    <mergeCell ref="E3:H3"/>
    <mergeCell ref="C86:D86"/>
    <mergeCell ref="F87:H87"/>
    <mergeCell ref="D41:H41"/>
  </mergeCells>
  <phoneticPr fontId="3" type="noConversion"/>
  <pageMargins left="1.1811023622047245" right="0.39370078740157483" top="0.78740157480314965" bottom="0.78740157480314965" header="0.19685039370078741" footer="0.23622047244094491"/>
  <pageSetup paperSize="9" scale="55" orientation="landscape" r:id="rId1"/>
  <headerFooter alignWithMargins="0">
    <oddHeader xml:space="preserve">&amp;R&amp;"Times New Roman,звичайний"&amp;14Продовження додатка 3
Таблиця 3
</oddHeader>
  </headerFooter>
  <rowBreaks count="1" manualBreakCount="1">
    <brk id="40" max="16383" man="1"/>
  </rowBreaks>
  <ignoredErrors>
    <ignoredError sqref="H8 G60:H60 G40:H40 G79:H81 G50:H51 H20 G42:H43 G69:H70 G62:H6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S183"/>
  <sheetViews>
    <sheetView zoomScale="60" zoomScaleNormal="60" zoomScaleSheetLayoutView="53" workbookViewId="0">
      <selection activeCell="J8" sqref="J8:K8"/>
    </sheetView>
  </sheetViews>
  <sheetFormatPr defaultRowHeight="18.75"/>
  <cols>
    <col min="1" max="1" width="50.7109375" style="3" customWidth="1"/>
    <col min="2" max="2" width="16.140625" style="15" customWidth="1"/>
    <col min="3" max="8" width="15.140625" style="15" customWidth="1"/>
    <col min="9" max="16" width="15.140625" style="3" customWidth="1"/>
    <col min="17" max="17" width="15.7109375" style="3" customWidth="1"/>
    <col min="18" max="19" width="15.140625" style="3" customWidth="1"/>
    <col min="20" max="20" width="13.5703125" style="3" customWidth="1"/>
    <col min="21" max="21" width="9.140625" style="3"/>
    <col min="22" max="22" width="9.140625" style="3" customWidth="1"/>
    <col min="23" max="16384" width="9.140625" style="3"/>
  </cols>
  <sheetData>
    <row r="1" spans="1:19">
      <c r="A1" s="264" t="s">
        <v>323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10"/>
      <c r="Q1" s="210"/>
      <c r="R1" s="210"/>
      <c r="S1" s="210"/>
    </row>
    <row r="2" spans="1:19">
      <c r="A2" s="316"/>
      <c r="B2" s="316"/>
      <c r="C2" s="316"/>
      <c r="D2" s="316"/>
      <c r="E2" s="316"/>
      <c r="F2" s="316"/>
      <c r="G2" s="316"/>
      <c r="H2" s="316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spans="1:19" ht="57" customHeight="1">
      <c r="A3" s="286" t="s">
        <v>24</v>
      </c>
      <c r="B3" s="286"/>
      <c r="C3" s="286"/>
      <c r="D3" s="286"/>
      <c r="E3" s="286"/>
      <c r="F3" s="286"/>
      <c r="G3" s="186" t="s">
        <v>25</v>
      </c>
      <c r="H3" s="313" t="s">
        <v>26</v>
      </c>
      <c r="I3" s="314"/>
      <c r="J3" s="314"/>
      <c r="K3" s="315"/>
      <c r="L3" s="301" t="s">
        <v>27</v>
      </c>
      <c r="M3" s="301"/>
      <c r="N3" s="301"/>
      <c r="O3" s="301"/>
      <c r="P3" s="301"/>
      <c r="Q3" s="301"/>
      <c r="R3" s="301"/>
      <c r="S3" s="301"/>
    </row>
    <row r="4" spans="1:19" ht="56.25" customHeight="1">
      <c r="A4" s="286"/>
      <c r="B4" s="286"/>
      <c r="C4" s="286"/>
      <c r="D4" s="286"/>
      <c r="E4" s="286"/>
      <c r="F4" s="286"/>
      <c r="G4" s="186"/>
      <c r="H4" s="279" t="s">
        <v>28</v>
      </c>
      <c r="I4" s="279"/>
      <c r="J4" s="279" t="s">
        <v>29</v>
      </c>
      <c r="K4" s="279"/>
      <c r="L4" s="279" t="s">
        <v>30</v>
      </c>
      <c r="M4" s="279"/>
      <c r="N4" s="273" t="s">
        <v>31</v>
      </c>
      <c r="O4" s="275"/>
      <c r="P4" s="286" t="s">
        <v>32</v>
      </c>
      <c r="Q4" s="286"/>
      <c r="R4" s="286" t="s">
        <v>33</v>
      </c>
      <c r="S4" s="286"/>
    </row>
    <row r="5" spans="1:19" ht="18" customHeight="1">
      <c r="A5" s="286">
        <v>1</v>
      </c>
      <c r="B5" s="286"/>
      <c r="C5" s="286"/>
      <c r="D5" s="286"/>
      <c r="E5" s="286"/>
      <c r="F5" s="286"/>
      <c r="G5" s="186">
        <v>2</v>
      </c>
      <c r="H5" s="279"/>
      <c r="I5" s="279"/>
      <c r="J5" s="279"/>
      <c r="K5" s="279"/>
      <c r="L5" s="279">
        <v>5</v>
      </c>
      <c r="M5" s="279">
        <v>5</v>
      </c>
      <c r="N5" s="279">
        <v>6</v>
      </c>
      <c r="O5" s="279"/>
      <c r="P5" s="286">
        <v>7</v>
      </c>
      <c r="Q5" s="286"/>
      <c r="R5" s="286">
        <v>8</v>
      </c>
      <c r="S5" s="286"/>
    </row>
    <row r="6" spans="1:19" s="5" customFormat="1" ht="37.5" customHeight="1">
      <c r="A6" s="298" t="s">
        <v>324</v>
      </c>
      <c r="B6" s="298"/>
      <c r="C6" s="298"/>
      <c r="D6" s="298"/>
      <c r="E6" s="298"/>
      <c r="F6" s="298"/>
      <c r="G6" s="97">
        <v>4000</v>
      </c>
      <c r="H6" s="312">
        <f t="shared" ref="H6:O6" si="0">SUM(H7:H12)</f>
        <v>1353.3999999999999</v>
      </c>
      <c r="I6" s="312">
        <f t="shared" si="0"/>
        <v>0</v>
      </c>
      <c r="J6" s="312">
        <f t="shared" si="0"/>
        <v>1246.0999999999999</v>
      </c>
      <c r="K6" s="312">
        <f t="shared" si="0"/>
        <v>0</v>
      </c>
      <c r="L6" s="312">
        <f t="shared" si="0"/>
        <v>1100</v>
      </c>
      <c r="M6" s="312">
        <f t="shared" si="0"/>
        <v>0</v>
      </c>
      <c r="N6" s="312">
        <f t="shared" si="0"/>
        <v>1161.5999999999999</v>
      </c>
      <c r="O6" s="312">
        <f t="shared" si="0"/>
        <v>0</v>
      </c>
      <c r="P6" s="312">
        <f t="shared" ref="P6:P12" si="1">SUM(N6-L6)</f>
        <v>61.599999999999909</v>
      </c>
      <c r="Q6" s="312">
        <f t="shared" ref="Q6:Q12" si="2">SUM(B6,E6,G6,M6)</f>
        <v>4000</v>
      </c>
      <c r="R6" s="328">
        <f t="shared" ref="R6:R12" si="3">(N6/L6)*100</f>
        <v>105.59999999999998</v>
      </c>
      <c r="S6" s="328">
        <f t="shared" ref="S6:S12" si="4">SUM(D6,G6,I6,O6)</f>
        <v>4000</v>
      </c>
    </row>
    <row r="7" spans="1:19" ht="20.100000000000001" customHeight="1">
      <c r="A7" s="317" t="s">
        <v>325</v>
      </c>
      <c r="B7" s="317"/>
      <c r="C7" s="317"/>
      <c r="D7" s="317"/>
      <c r="E7" s="317"/>
      <c r="F7" s="317"/>
      <c r="G7" s="36" t="s">
        <v>326</v>
      </c>
      <c r="H7" s="319"/>
      <c r="I7" s="319"/>
      <c r="J7" s="311"/>
      <c r="K7" s="311"/>
      <c r="L7" s="319"/>
      <c r="M7" s="319"/>
      <c r="N7" s="311"/>
      <c r="O7" s="311"/>
      <c r="P7" s="327">
        <f t="shared" si="1"/>
        <v>0</v>
      </c>
      <c r="Q7" s="327">
        <f t="shared" si="2"/>
        <v>0</v>
      </c>
      <c r="R7" s="318" t="e">
        <f t="shared" si="3"/>
        <v>#DIV/0!</v>
      </c>
      <c r="S7" s="318">
        <f t="shared" si="4"/>
        <v>0</v>
      </c>
    </row>
    <row r="8" spans="1:19" ht="20.100000000000001" customHeight="1">
      <c r="A8" s="317" t="s">
        <v>327</v>
      </c>
      <c r="B8" s="317"/>
      <c r="C8" s="317"/>
      <c r="D8" s="317"/>
      <c r="E8" s="317"/>
      <c r="F8" s="317"/>
      <c r="G8" s="98">
        <v>4020</v>
      </c>
      <c r="H8" s="319">
        <v>1088.0999999999999</v>
      </c>
      <c r="I8" s="319"/>
      <c r="J8" s="311">
        <f>23.3+1005</f>
        <v>1028.3</v>
      </c>
      <c r="K8" s="311"/>
      <c r="L8" s="319">
        <v>1000</v>
      </c>
      <c r="M8" s="319"/>
      <c r="N8" s="311">
        <v>1005</v>
      </c>
      <c r="O8" s="311"/>
      <c r="P8" s="327">
        <f t="shared" si="1"/>
        <v>5</v>
      </c>
      <c r="Q8" s="327">
        <f t="shared" si="2"/>
        <v>4020</v>
      </c>
      <c r="R8" s="318">
        <f t="shared" si="3"/>
        <v>100.49999999999999</v>
      </c>
      <c r="S8" s="318">
        <f t="shared" si="4"/>
        <v>4020</v>
      </c>
    </row>
    <row r="9" spans="1:19" ht="19.5" customHeight="1">
      <c r="A9" s="317" t="s">
        <v>328</v>
      </c>
      <c r="B9" s="317"/>
      <c r="C9" s="317"/>
      <c r="D9" s="317"/>
      <c r="E9" s="317"/>
      <c r="F9" s="317"/>
      <c r="G9" s="36">
        <v>4030</v>
      </c>
      <c r="H9" s="319">
        <v>265.3</v>
      </c>
      <c r="I9" s="319"/>
      <c r="J9" s="311">
        <f>60.8+157</f>
        <v>217.8</v>
      </c>
      <c r="K9" s="311"/>
      <c r="L9" s="319">
        <v>100</v>
      </c>
      <c r="M9" s="319"/>
      <c r="N9" s="311">
        <v>156.6</v>
      </c>
      <c r="O9" s="311"/>
      <c r="P9" s="327">
        <f t="shared" si="1"/>
        <v>56.599999999999994</v>
      </c>
      <c r="Q9" s="327">
        <f t="shared" si="2"/>
        <v>4030</v>
      </c>
      <c r="R9" s="318">
        <f t="shared" si="3"/>
        <v>156.6</v>
      </c>
      <c r="S9" s="318">
        <f t="shared" si="4"/>
        <v>4030</v>
      </c>
    </row>
    <row r="10" spans="1:19" ht="20.100000000000001" customHeight="1">
      <c r="A10" s="317" t="s">
        <v>329</v>
      </c>
      <c r="B10" s="317"/>
      <c r="C10" s="317"/>
      <c r="D10" s="317"/>
      <c r="E10" s="317"/>
      <c r="F10" s="317"/>
      <c r="G10" s="98">
        <v>4040</v>
      </c>
      <c r="H10" s="319"/>
      <c r="I10" s="319"/>
      <c r="J10" s="311"/>
      <c r="K10" s="311"/>
      <c r="L10" s="319"/>
      <c r="M10" s="319"/>
      <c r="N10" s="311"/>
      <c r="O10" s="311"/>
      <c r="P10" s="327">
        <f t="shared" si="1"/>
        <v>0</v>
      </c>
      <c r="Q10" s="327">
        <f t="shared" si="2"/>
        <v>4040</v>
      </c>
      <c r="R10" s="318" t="e">
        <f t="shared" si="3"/>
        <v>#DIV/0!</v>
      </c>
      <c r="S10" s="318">
        <f t="shared" si="4"/>
        <v>4040</v>
      </c>
    </row>
    <row r="11" spans="1:19" ht="21" customHeight="1">
      <c r="A11" s="317" t="s">
        <v>330</v>
      </c>
      <c r="B11" s="317"/>
      <c r="C11" s="317"/>
      <c r="D11" s="317"/>
      <c r="E11" s="317"/>
      <c r="F11" s="317"/>
      <c r="G11" s="36">
        <v>4050</v>
      </c>
      <c r="H11" s="319"/>
      <c r="I11" s="319"/>
      <c r="J11" s="311"/>
      <c r="K11" s="311"/>
      <c r="L11" s="319"/>
      <c r="M11" s="319"/>
      <c r="N11" s="311"/>
      <c r="O11" s="311"/>
      <c r="P11" s="327">
        <f t="shared" si="1"/>
        <v>0</v>
      </c>
      <c r="Q11" s="327">
        <f t="shared" si="2"/>
        <v>4050</v>
      </c>
      <c r="R11" s="318" t="e">
        <f t="shared" si="3"/>
        <v>#DIV/0!</v>
      </c>
      <c r="S11" s="318">
        <f t="shared" si="4"/>
        <v>4050</v>
      </c>
    </row>
    <row r="12" spans="1:19">
      <c r="A12" s="270" t="s">
        <v>331</v>
      </c>
      <c r="B12" s="271"/>
      <c r="C12" s="271"/>
      <c r="D12" s="271"/>
      <c r="E12" s="271"/>
      <c r="F12" s="272"/>
      <c r="G12" s="36">
        <v>4060</v>
      </c>
      <c r="H12" s="319"/>
      <c r="I12" s="319"/>
      <c r="J12" s="311"/>
      <c r="K12" s="311"/>
      <c r="L12" s="319"/>
      <c r="M12" s="319"/>
      <c r="N12" s="311"/>
      <c r="O12" s="311"/>
      <c r="P12" s="327">
        <f t="shared" si="1"/>
        <v>0</v>
      </c>
      <c r="Q12" s="327">
        <f t="shared" si="2"/>
        <v>4060</v>
      </c>
      <c r="R12" s="318" t="e">
        <f t="shared" si="3"/>
        <v>#DIV/0!</v>
      </c>
      <c r="S12" s="318">
        <f t="shared" si="4"/>
        <v>4060</v>
      </c>
    </row>
    <row r="13" spans="1:19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</row>
    <row r="14" spans="1:19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</row>
    <row r="15" spans="1:19" ht="18.75" customHeight="1">
      <c r="A15" s="329" t="s">
        <v>437</v>
      </c>
      <c r="B15" s="329"/>
      <c r="C15" s="252" t="s">
        <v>122</v>
      </c>
      <c r="D15" s="252"/>
      <c r="E15" s="252"/>
      <c r="F15" s="252"/>
      <c r="G15" s="252"/>
      <c r="H15" s="252"/>
      <c r="I15" s="252"/>
      <c r="J15" s="101"/>
      <c r="K15" s="293"/>
      <c r="L15" s="293"/>
      <c r="M15" s="293"/>
      <c r="N15" s="210"/>
      <c r="O15" s="210"/>
      <c r="P15" s="210"/>
      <c r="Q15" s="210"/>
      <c r="R15" s="210"/>
      <c r="S15" s="210"/>
    </row>
    <row r="16" spans="1:19">
      <c r="A16" s="196"/>
      <c r="B16" s="196"/>
      <c r="C16" s="253" t="s">
        <v>332</v>
      </c>
      <c r="D16" s="253"/>
      <c r="E16" s="253"/>
      <c r="F16" s="253"/>
      <c r="G16" s="253"/>
      <c r="H16" s="253"/>
      <c r="I16" s="253"/>
      <c r="J16" s="17"/>
      <c r="K16" s="293" t="s">
        <v>431</v>
      </c>
      <c r="L16" s="293"/>
      <c r="M16" s="293"/>
      <c r="N16" s="210"/>
      <c r="O16" s="210"/>
      <c r="P16" s="210"/>
      <c r="Q16" s="210"/>
      <c r="R16" s="210"/>
      <c r="S16" s="210"/>
    </row>
    <row r="17" spans="1:19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</row>
    <row r="19" spans="1:19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</row>
    <row r="20" spans="1:19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</row>
    <row r="21" spans="1:19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 s="2" customFormat="1" ht="19.5" customHeight="1">
      <c r="A22" s="187"/>
      <c r="I22" s="210"/>
    </row>
    <row r="23" spans="1:19">
      <c r="A23" s="326" t="s">
        <v>333</v>
      </c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210"/>
      <c r="O23" s="210"/>
      <c r="P23" s="210"/>
      <c r="Q23" s="210"/>
      <c r="R23" s="210"/>
      <c r="S23" s="210"/>
    </row>
    <row r="24" spans="1:19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10"/>
      <c r="O24" s="210"/>
      <c r="P24" s="210"/>
      <c r="Q24" s="210"/>
      <c r="R24" s="210"/>
      <c r="S24" s="210"/>
    </row>
    <row r="25" spans="1:19">
      <c r="A25" s="32"/>
      <c r="B25" s="189"/>
      <c r="C25" s="189"/>
      <c r="D25" s="189"/>
      <c r="E25" s="189"/>
      <c r="F25" s="189"/>
      <c r="G25" s="189"/>
      <c r="H25" s="189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</row>
    <row r="26" spans="1:19" ht="56.25" customHeight="1">
      <c r="A26" s="320" t="s">
        <v>334</v>
      </c>
      <c r="B26" s="261" t="s">
        <v>335</v>
      </c>
      <c r="C26" s="262"/>
      <c r="D26" s="263"/>
      <c r="E26" s="279" t="s">
        <v>336</v>
      </c>
      <c r="F26" s="279"/>
      <c r="G26" s="286" t="s">
        <v>337</v>
      </c>
      <c r="H26" s="286"/>
      <c r="I26" s="286"/>
      <c r="J26" s="286"/>
      <c r="K26" s="286"/>
      <c r="L26" s="286"/>
      <c r="M26" s="286"/>
      <c r="N26" s="286"/>
      <c r="O26" s="286"/>
      <c r="P26" s="286"/>
      <c r="Q26" s="325" t="s">
        <v>338</v>
      </c>
      <c r="R26" s="325"/>
      <c r="S26" s="325"/>
    </row>
    <row r="27" spans="1:19" ht="67.5" customHeight="1">
      <c r="A27" s="321"/>
      <c r="B27" s="323" t="s">
        <v>141</v>
      </c>
      <c r="C27" s="273" t="s">
        <v>339</v>
      </c>
      <c r="D27" s="275"/>
      <c r="E27" s="279" t="s">
        <v>340</v>
      </c>
      <c r="F27" s="279" t="s">
        <v>31</v>
      </c>
      <c r="G27" s="279" t="s">
        <v>341</v>
      </c>
      <c r="H27" s="279"/>
      <c r="I27" s="279" t="s">
        <v>342</v>
      </c>
      <c r="J27" s="279"/>
      <c r="K27" s="279" t="s">
        <v>343</v>
      </c>
      <c r="L27" s="279"/>
      <c r="M27" s="279" t="s">
        <v>344</v>
      </c>
      <c r="N27" s="279"/>
      <c r="O27" s="279" t="s">
        <v>345</v>
      </c>
      <c r="P27" s="279"/>
      <c r="Q27" s="323" t="s">
        <v>141</v>
      </c>
      <c r="R27" s="273" t="s">
        <v>339</v>
      </c>
      <c r="S27" s="275"/>
    </row>
    <row r="28" spans="1:19" ht="67.5" customHeight="1">
      <c r="A28" s="322"/>
      <c r="B28" s="324"/>
      <c r="C28" s="186" t="s">
        <v>341</v>
      </c>
      <c r="D28" s="186" t="s">
        <v>346</v>
      </c>
      <c r="E28" s="279"/>
      <c r="F28" s="279"/>
      <c r="G28" s="192" t="s">
        <v>340</v>
      </c>
      <c r="H28" s="192" t="s">
        <v>31</v>
      </c>
      <c r="I28" s="192" t="s">
        <v>340</v>
      </c>
      <c r="J28" s="192" t="s">
        <v>31</v>
      </c>
      <c r="K28" s="192" t="s">
        <v>340</v>
      </c>
      <c r="L28" s="192" t="s">
        <v>31</v>
      </c>
      <c r="M28" s="192" t="s">
        <v>340</v>
      </c>
      <c r="N28" s="192" t="s">
        <v>31</v>
      </c>
      <c r="O28" s="192" t="s">
        <v>340</v>
      </c>
      <c r="P28" s="192" t="s">
        <v>31</v>
      </c>
      <c r="Q28" s="324"/>
      <c r="R28" s="186" t="s">
        <v>341</v>
      </c>
      <c r="S28" s="186" t="s">
        <v>346</v>
      </c>
    </row>
    <row r="29" spans="1:19" ht="37.5">
      <c r="A29" s="8" t="s">
        <v>347</v>
      </c>
      <c r="B29" s="204">
        <f>SUM(C29,D29)</f>
        <v>0</v>
      </c>
      <c r="C29" s="99"/>
      <c r="D29" s="99"/>
      <c r="E29" s="99"/>
      <c r="F29" s="99"/>
      <c r="G29" s="51" t="s">
        <v>152</v>
      </c>
      <c r="H29" s="51" t="s">
        <v>152</v>
      </c>
      <c r="I29" s="100"/>
      <c r="J29" s="100"/>
      <c r="K29" s="51" t="s">
        <v>152</v>
      </c>
      <c r="L29" s="51" t="s">
        <v>152</v>
      </c>
      <c r="M29" s="100"/>
      <c r="N29" s="100"/>
      <c r="O29" s="100"/>
      <c r="P29" s="100"/>
      <c r="Q29" s="204">
        <f>SUM(R29,S29)</f>
        <v>0</v>
      </c>
      <c r="R29" s="204">
        <f>SUM(C29,F29,H29,N29)</f>
        <v>0</v>
      </c>
      <c r="S29" s="204">
        <f>SUM(D29,J29,L29,P29)</f>
        <v>0</v>
      </c>
    </row>
    <row r="30" spans="1:19">
      <c r="A30" s="8"/>
      <c r="B30" s="213">
        <f t="shared" ref="B30:B37" si="5">SUM(C30,D30)</f>
        <v>0</v>
      </c>
      <c r="C30" s="99"/>
      <c r="D30" s="99"/>
      <c r="E30" s="99"/>
      <c r="F30" s="99"/>
      <c r="G30" s="51" t="s">
        <v>152</v>
      </c>
      <c r="H30" s="51" t="s">
        <v>152</v>
      </c>
      <c r="I30" s="100"/>
      <c r="J30" s="100"/>
      <c r="K30" s="51" t="s">
        <v>152</v>
      </c>
      <c r="L30" s="51" t="s">
        <v>152</v>
      </c>
      <c r="M30" s="100"/>
      <c r="N30" s="100"/>
      <c r="O30" s="100"/>
      <c r="P30" s="100"/>
      <c r="Q30" s="213">
        <f t="shared" ref="Q30:Q37" si="6">SUM(R30,S30)</f>
        <v>0</v>
      </c>
      <c r="R30" s="213">
        <f t="shared" ref="R30:R36" si="7">SUM(C30,F30,H30,N30)</f>
        <v>0</v>
      </c>
      <c r="S30" s="213">
        <f t="shared" ref="S30:S36" si="8">SUM(D30,J30,L30,P30)</f>
        <v>0</v>
      </c>
    </row>
    <row r="31" spans="1:19">
      <c r="A31" s="8"/>
      <c r="B31" s="213">
        <f t="shared" si="5"/>
        <v>0</v>
      </c>
      <c r="C31" s="99"/>
      <c r="D31" s="99"/>
      <c r="E31" s="99"/>
      <c r="F31" s="99"/>
      <c r="G31" s="51" t="s">
        <v>152</v>
      </c>
      <c r="H31" s="51" t="s">
        <v>152</v>
      </c>
      <c r="I31" s="100"/>
      <c r="J31" s="100"/>
      <c r="K31" s="51" t="s">
        <v>152</v>
      </c>
      <c r="L31" s="51" t="s">
        <v>152</v>
      </c>
      <c r="M31" s="100"/>
      <c r="N31" s="100"/>
      <c r="O31" s="100"/>
      <c r="P31" s="100"/>
      <c r="Q31" s="213">
        <f t="shared" si="6"/>
        <v>0</v>
      </c>
      <c r="R31" s="213">
        <f>SUM(C31,F31,H31,N31)</f>
        <v>0</v>
      </c>
      <c r="S31" s="213">
        <f>SUM(D31,J31,L31,P31)</f>
        <v>0</v>
      </c>
    </row>
    <row r="32" spans="1:19" ht="37.5">
      <c r="A32" s="8" t="s">
        <v>348</v>
      </c>
      <c r="B32" s="204">
        <f t="shared" si="5"/>
        <v>0</v>
      </c>
      <c r="C32" s="99"/>
      <c r="D32" s="99"/>
      <c r="E32" s="99"/>
      <c r="F32" s="99"/>
      <c r="G32" s="51" t="s">
        <v>152</v>
      </c>
      <c r="H32" s="51" t="s">
        <v>152</v>
      </c>
      <c r="I32" s="100"/>
      <c r="J32" s="100"/>
      <c r="K32" s="51" t="s">
        <v>152</v>
      </c>
      <c r="L32" s="51" t="s">
        <v>152</v>
      </c>
      <c r="M32" s="100"/>
      <c r="N32" s="100"/>
      <c r="O32" s="100"/>
      <c r="P32" s="100"/>
      <c r="Q32" s="204">
        <f t="shared" si="6"/>
        <v>0</v>
      </c>
      <c r="R32" s="204">
        <f t="shared" si="7"/>
        <v>0</v>
      </c>
      <c r="S32" s="204">
        <f t="shared" si="8"/>
        <v>0</v>
      </c>
    </row>
    <row r="33" spans="1:19">
      <c r="A33" s="8"/>
      <c r="B33" s="213">
        <f t="shared" si="5"/>
        <v>0</v>
      </c>
      <c r="C33" s="99"/>
      <c r="D33" s="99"/>
      <c r="E33" s="99"/>
      <c r="F33" s="99"/>
      <c r="G33" s="51" t="s">
        <v>152</v>
      </c>
      <c r="H33" s="51" t="s">
        <v>152</v>
      </c>
      <c r="I33" s="100"/>
      <c r="J33" s="100"/>
      <c r="K33" s="51" t="s">
        <v>152</v>
      </c>
      <c r="L33" s="51" t="s">
        <v>152</v>
      </c>
      <c r="M33" s="100"/>
      <c r="N33" s="100"/>
      <c r="O33" s="100"/>
      <c r="P33" s="100"/>
      <c r="Q33" s="213">
        <f t="shared" si="6"/>
        <v>0</v>
      </c>
      <c r="R33" s="213">
        <f t="shared" si="7"/>
        <v>0</v>
      </c>
      <c r="S33" s="213">
        <f t="shared" si="8"/>
        <v>0</v>
      </c>
    </row>
    <row r="34" spans="1:19">
      <c r="A34" s="8"/>
      <c r="B34" s="213">
        <f t="shared" si="5"/>
        <v>0</v>
      </c>
      <c r="C34" s="99"/>
      <c r="D34" s="99"/>
      <c r="E34" s="99"/>
      <c r="F34" s="99"/>
      <c r="G34" s="51" t="s">
        <v>152</v>
      </c>
      <c r="H34" s="51" t="s">
        <v>152</v>
      </c>
      <c r="I34" s="100"/>
      <c r="J34" s="100"/>
      <c r="K34" s="51" t="s">
        <v>152</v>
      </c>
      <c r="L34" s="51" t="s">
        <v>152</v>
      </c>
      <c r="M34" s="100"/>
      <c r="N34" s="100"/>
      <c r="O34" s="100"/>
      <c r="P34" s="100"/>
      <c r="Q34" s="213">
        <f t="shared" si="6"/>
        <v>0</v>
      </c>
      <c r="R34" s="213">
        <f>SUM(C34,F34,H34,N34)</f>
        <v>0</v>
      </c>
      <c r="S34" s="213">
        <f>SUM(D34,J34,L34,P34)</f>
        <v>0</v>
      </c>
    </row>
    <row r="35" spans="1:19" ht="37.5">
      <c r="A35" s="8" t="s">
        <v>349</v>
      </c>
      <c r="B35" s="204">
        <f t="shared" si="5"/>
        <v>0</v>
      </c>
      <c r="C35" s="99"/>
      <c r="D35" s="99"/>
      <c r="E35" s="99"/>
      <c r="F35" s="99"/>
      <c r="G35" s="51" t="s">
        <v>152</v>
      </c>
      <c r="H35" s="51" t="s">
        <v>152</v>
      </c>
      <c r="I35" s="100"/>
      <c r="J35" s="100"/>
      <c r="K35" s="51" t="s">
        <v>152</v>
      </c>
      <c r="L35" s="51" t="s">
        <v>152</v>
      </c>
      <c r="M35" s="100"/>
      <c r="N35" s="100"/>
      <c r="O35" s="100"/>
      <c r="P35" s="100"/>
      <c r="Q35" s="204">
        <f t="shared" si="6"/>
        <v>0</v>
      </c>
      <c r="R35" s="204">
        <f t="shared" si="7"/>
        <v>0</v>
      </c>
      <c r="S35" s="204">
        <f t="shared" si="8"/>
        <v>0</v>
      </c>
    </row>
    <row r="36" spans="1:19">
      <c r="A36" s="8"/>
      <c r="B36" s="213">
        <f t="shared" si="5"/>
        <v>0</v>
      </c>
      <c r="C36" s="99"/>
      <c r="D36" s="99"/>
      <c r="E36" s="99"/>
      <c r="F36" s="99"/>
      <c r="G36" s="51" t="s">
        <v>152</v>
      </c>
      <c r="H36" s="51" t="s">
        <v>152</v>
      </c>
      <c r="I36" s="100"/>
      <c r="J36" s="100"/>
      <c r="K36" s="51" t="s">
        <v>152</v>
      </c>
      <c r="L36" s="51" t="s">
        <v>152</v>
      </c>
      <c r="M36" s="100"/>
      <c r="N36" s="100"/>
      <c r="O36" s="100"/>
      <c r="P36" s="100"/>
      <c r="Q36" s="213">
        <f t="shared" si="6"/>
        <v>0</v>
      </c>
      <c r="R36" s="213">
        <f t="shared" si="7"/>
        <v>0</v>
      </c>
      <c r="S36" s="213">
        <f t="shared" si="8"/>
        <v>0</v>
      </c>
    </row>
    <row r="37" spans="1:19">
      <c r="A37" s="8"/>
      <c r="B37" s="213">
        <f t="shared" si="5"/>
        <v>0</v>
      </c>
      <c r="C37" s="99"/>
      <c r="D37" s="99"/>
      <c r="E37" s="99"/>
      <c r="F37" s="99"/>
      <c r="G37" s="51" t="s">
        <v>152</v>
      </c>
      <c r="H37" s="51" t="s">
        <v>152</v>
      </c>
      <c r="I37" s="100"/>
      <c r="J37" s="100"/>
      <c r="K37" s="51" t="s">
        <v>152</v>
      </c>
      <c r="L37" s="51" t="s">
        <v>152</v>
      </c>
      <c r="M37" s="100"/>
      <c r="N37" s="100"/>
      <c r="O37" s="100"/>
      <c r="P37" s="100"/>
      <c r="Q37" s="213">
        <f t="shared" si="6"/>
        <v>0</v>
      </c>
      <c r="R37" s="213">
        <f>SUM(C37,F37,H37,N37)</f>
        <v>0</v>
      </c>
      <c r="S37" s="213">
        <f>SUM(D37,J37,L37,P37)</f>
        <v>0</v>
      </c>
    </row>
    <row r="38" spans="1:19">
      <c r="A38" s="8" t="s">
        <v>141</v>
      </c>
      <c r="B38" s="204">
        <f>SUM(B29,B32,B35)</f>
        <v>0</v>
      </c>
      <c r="C38" s="204">
        <f t="shared" ref="C38:S38" si="9">SUM(C29,C32,C35)</f>
        <v>0</v>
      </c>
      <c r="D38" s="204">
        <f t="shared" si="9"/>
        <v>0</v>
      </c>
      <c r="E38" s="204">
        <f t="shared" si="9"/>
        <v>0</v>
      </c>
      <c r="F38" s="204">
        <f t="shared" si="9"/>
        <v>0</v>
      </c>
      <c r="G38" s="204">
        <f t="shared" si="9"/>
        <v>0</v>
      </c>
      <c r="H38" s="204">
        <f t="shared" si="9"/>
        <v>0</v>
      </c>
      <c r="I38" s="204">
        <f t="shared" si="9"/>
        <v>0</v>
      </c>
      <c r="J38" s="204">
        <f t="shared" si="9"/>
        <v>0</v>
      </c>
      <c r="K38" s="204">
        <f t="shared" si="9"/>
        <v>0</v>
      </c>
      <c r="L38" s="204">
        <f t="shared" si="9"/>
        <v>0</v>
      </c>
      <c r="M38" s="204">
        <f t="shared" si="9"/>
        <v>0</v>
      </c>
      <c r="N38" s="204">
        <f t="shared" si="9"/>
        <v>0</v>
      </c>
      <c r="O38" s="204">
        <f t="shared" si="9"/>
        <v>0</v>
      </c>
      <c r="P38" s="204">
        <f t="shared" si="9"/>
        <v>0</v>
      </c>
      <c r="Q38" s="204">
        <f t="shared" si="9"/>
        <v>0</v>
      </c>
      <c r="R38" s="204">
        <f t="shared" si="9"/>
        <v>0</v>
      </c>
      <c r="S38" s="204">
        <f t="shared" si="9"/>
        <v>0</v>
      </c>
    </row>
    <row r="39" spans="1:19">
      <c r="A39" s="32"/>
      <c r="B39" s="189"/>
      <c r="C39" s="189"/>
      <c r="D39" s="189"/>
      <c r="E39" s="189"/>
      <c r="F39" s="189"/>
      <c r="G39" s="189"/>
      <c r="H39" s="189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</row>
    <row r="40" spans="1:19">
      <c r="A40" s="32"/>
      <c r="B40" s="189"/>
      <c r="C40" s="189"/>
      <c r="D40" s="189"/>
      <c r="E40" s="189"/>
      <c r="F40" s="189"/>
      <c r="G40" s="189"/>
      <c r="H40" s="189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</row>
    <row r="41" spans="1:19">
      <c r="A41" s="329" t="s">
        <v>437</v>
      </c>
      <c r="B41" s="329"/>
      <c r="C41" s="252" t="s">
        <v>122</v>
      </c>
      <c r="D41" s="252"/>
      <c r="E41" s="252"/>
      <c r="F41" s="252"/>
      <c r="G41" s="252"/>
      <c r="H41" s="252"/>
      <c r="I41" s="252"/>
      <c r="J41" s="101"/>
      <c r="K41" s="293"/>
      <c r="L41" s="293"/>
      <c r="M41" s="293"/>
      <c r="N41" s="210"/>
      <c r="O41" s="210"/>
      <c r="P41" s="210"/>
      <c r="Q41" s="210"/>
      <c r="R41" s="210"/>
      <c r="S41" s="210"/>
    </row>
    <row r="42" spans="1:19">
      <c r="A42" s="196"/>
      <c r="B42" s="196"/>
      <c r="C42" s="253" t="s">
        <v>332</v>
      </c>
      <c r="D42" s="253"/>
      <c r="E42" s="253"/>
      <c r="F42" s="253"/>
      <c r="G42" s="253"/>
      <c r="H42" s="253"/>
      <c r="I42" s="253"/>
      <c r="J42" s="17"/>
      <c r="K42" s="293" t="s">
        <v>431</v>
      </c>
      <c r="L42" s="293"/>
      <c r="M42" s="293"/>
      <c r="N42" s="210"/>
      <c r="O42" s="210"/>
      <c r="P42" s="210"/>
      <c r="Q42" s="210"/>
      <c r="R42" s="210"/>
      <c r="S42" s="210"/>
    </row>
    <row r="43" spans="1:19">
      <c r="A43" s="32"/>
      <c r="B43" s="189"/>
      <c r="C43" s="189"/>
      <c r="D43" s="189"/>
      <c r="E43" s="189"/>
      <c r="F43" s="189"/>
      <c r="G43" s="189"/>
      <c r="H43" s="189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</row>
    <row r="44" spans="1:19">
      <c r="A44" s="32"/>
      <c r="B44" s="189"/>
      <c r="C44" s="189"/>
      <c r="D44" s="189"/>
      <c r="E44" s="189"/>
      <c r="F44" s="189"/>
      <c r="G44" s="189"/>
      <c r="H44" s="189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</row>
    <row r="45" spans="1:19">
      <c r="A45" s="32"/>
      <c r="B45" s="189"/>
      <c r="C45" s="189"/>
      <c r="D45" s="189"/>
      <c r="E45" s="189"/>
      <c r="F45" s="189"/>
      <c r="G45" s="189"/>
      <c r="H45" s="189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</row>
    <row r="46" spans="1:19">
      <c r="A46" s="32"/>
      <c r="B46" s="189"/>
      <c r="C46" s="189"/>
      <c r="D46" s="189"/>
      <c r="E46" s="189"/>
      <c r="F46" s="189"/>
      <c r="G46" s="189"/>
      <c r="H46" s="189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</row>
    <row r="47" spans="1:19">
      <c r="A47" s="32"/>
      <c r="B47" s="189"/>
      <c r="C47" s="189"/>
      <c r="D47" s="189"/>
      <c r="E47" s="189"/>
      <c r="F47" s="189"/>
      <c r="G47" s="189"/>
      <c r="H47" s="189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</row>
    <row r="48" spans="1:19">
      <c r="A48" s="32"/>
      <c r="B48" s="189"/>
      <c r="C48" s="189"/>
      <c r="D48" s="189"/>
      <c r="E48" s="189"/>
      <c r="F48" s="189"/>
      <c r="G48" s="189"/>
      <c r="H48" s="189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</row>
    <row r="49" spans="1:1">
      <c r="A49" s="32"/>
    </row>
    <row r="50" spans="1:1">
      <c r="A50" s="32"/>
    </row>
    <row r="51" spans="1:1">
      <c r="A51" s="32"/>
    </row>
    <row r="52" spans="1:1">
      <c r="A52" s="32"/>
    </row>
    <row r="53" spans="1:1">
      <c r="A53" s="32"/>
    </row>
    <row r="54" spans="1:1">
      <c r="A54" s="32"/>
    </row>
    <row r="55" spans="1:1">
      <c r="A55" s="32"/>
    </row>
    <row r="56" spans="1:1">
      <c r="A56" s="32"/>
    </row>
    <row r="57" spans="1:1">
      <c r="A57" s="32"/>
    </row>
    <row r="58" spans="1:1">
      <c r="A58" s="32"/>
    </row>
    <row r="59" spans="1:1">
      <c r="A59" s="32"/>
    </row>
    <row r="60" spans="1:1">
      <c r="A60" s="32"/>
    </row>
    <row r="61" spans="1:1">
      <c r="A61" s="32"/>
    </row>
    <row r="62" spans="1:1">
      <c r="A62" s="32"/>
    </row>
    <row r="63" spans="1:1">
      <c r="A63" s="32"/>
    </row>
    <row r="64" spans="1:1">
      <c r="A64" s="32"/>
    </row>
    <row r="65" spans="1:1">
      <c r="A65" s="32"/>
    </row>
    <row r="66" spans="1:1">
      <c r="A66" s="32"/>
    </row>
    <row r="67" spans="1:1">
      <c r="A67" s="32"/>
    </row>
    <row r="68" spans="1:1">
      <c r="A68" s="32"/>
    </row>
    <row r="69" spans="1:1">
      <c r="A69" s="32"/>
    </row>
    <row r="70" spans="1:1">
      <c r="A70" s="32"/>
    </row>
    <row r="71" spans="1:1">
      <c r="A71" s="32"/>
    </row>
    <row r="72" spans="1:1">
      <c r="A72" s="32"/>
    </row>
    <row r="73" spans="1:1">
      <c r="A73" s="32"/>
    </row>
    <row r="74" spans="1:1">
      <c r="A74" s="32"/>
    </row>
    <row r="75" spans="1:1">
      <c r="A75" s="32"/>
    </row>
    <row r="76" spans="1:1">
      <c r="A76" s="32"/>
    </row>
    <row r="77" spans="1:1">
      <c r="A77" s="32"/>
    </row>
    <row r="78" spans="1:1">
      <c r="A78" s="32"/>
    </row>
    <row r="79" spans="1:1">
      <c r="A79" s="32"/>
    </row>
    <row r="80" spans="1:1">
      <c r="A80" s="32"/>
    </row>
    <row r="81" spans="1:1">
      <c r="A81" s="32"/>
    </row>
    <row r="82" spans="1:1">
      <c r="A82" s="32"/>
    </row>
    <row r="83" spans="1:1">
      <c r="A83" s="32"/>
    </row>
    <row r="84" spans="1:1">
      <c r="A84" s="32"/>
    </row>
    <row r="85" spans="1:1">
      <c r="A85" s="32"/>
    </row>
    <row r="86" spans="1:1">
      <c r="A86" s="32"/>
    </row>
    <row r="87" spans="1:1">
      <c r="A87" s="32"/>
    </row>
    <row r="88" spans="1:1">
      <c r="A88" s="32"/>
    </row>
    <row r="89" spans="1:1">
      <c r="A89" s="32"/>
    </row>
    <row r="90" spans="1:1">
      <c r="A90" s="32"/>
    </row>
    <row r="91" spans="1:1">
      <c r="A91" s="32"/>
    </row>
    <row r="92" spans="1:1">
      <c r="A92" s="32"/>
    </row>
    <row r="93" spans="1:1">
      <c r="A93" s="32"/>
    </row>
    <row r="94" spans="1:1">
      <c r="A94" s="32"/>
    </row>
    <row r="95" spans="1:1">
      <c r="A95" s="32"/>
    </row>
    <row r="96" spans="1:1">
      <c r="A96" s="32"/>
    </row>
    <row r="97" spans="1:1">
      <c r="A97" s="32"/>
    </row>
    <row r="98" spans="1:1">
      <c r="A98" s="32"/>
    </row>
    <row r="99" spans="1:1">
      <c r="A99" s="32"/>
    </row>
    <row r="100" spans="1:1">
      <c r="A100" s="32"/>
    </row>
    <row r="101" spans="1:1">
      <c r="A101" s="32"/>
    </row>
    <row r="102" spans="1:1">
      <c r="A102" s="32"/>
    </row>
    <row r="103" spans="1:1">
      <c r="A103" s="32"/>
    </row>
    <row r="104" spans="1:1">
      <c r="A104" s="32"/>
    </row>
    <row r="105" spans="1:1">
      <c r="A105" s="32"/>
    </row>
    <row r="106" spans="1:1">
      <c r="A106" s="32"/>
    </row>
    <row r="107" spans="1:1">
      <c r="A107" s="32"/>
    </row>
    <row r="108" spans="1:1">
      <c r="A108" s="32"/>
    </row>
    <row r="109" spans="1:1">
      <c r="A109" s="32"/>
    </row>
    <row r="110" spans="1:1">
      <c r="A110" s="32"/>
    </row>
    <row r="111" spans="1:1">
      <c r="A111" s="32"/>
    </row>
    <row r="112" spans="1:1">
      <c r="A112" s="32"/>
    </row>
    <row r="113" spans="1:1">
      <c r="A113" s="32"/>
    </row>
    <row r="114" spans="1:1">
      <c r="A114" s="32"/>
    </row>
    <row r="115" spans="1:1">
      <c r="A115" s="32"/>
    </row>
    <row r="116" spans="1:1">
      <c r="A116" s="32"/>
    </row>
    <row r="117" spans="1:1">
      <c r="A117" s="32"/>
    </row>
    <row r="118" spans="1:1">
      <c r="A118" s="32"/>
    </row>
    <row r="119" spans="1:1">
      <c r="A119" s="32"/>
    </row>
    <row r="120" spans="1:1">
      <c r="A120" s="32"/>
    </row>
    <row r="121" spans="1:1">
      <c r="A121" s="32"/>
    </row>
    <row r="122" spans="1:1">
      <c r="A122" s="32"/>
    </row>
    <row r="123" spans="1:1">
      <c r="A123" s="32"/>
    </row>
    <row r="124" spans="1:1">
      <c r="A124" s="32"/>
    </row>
    <row r="125" spans="1:1">
      <c r="A125" s="32"/>
    </row>
    <row r="126" spans="1:1">
      <c r="A126" s="32"/>
    </row>
    <row r="127" spans="1:1">
      <c r="A127" s="32"/>
    </row>
    <row r="128" spans="1:1">
      <c r="A128" s="32"/>
    </row>
    <row r="129" spans="1:1">
      <c r="A129" s="32"/>
    </row>
    <row r="130" spans="1:1">
      <c r="A130" s="32"/>
    </row>
    <row r="131" spans="1:1">
      <c r="A131" s="32"/>
    </row>
    <row r="132" spans="1:1">
      <c r="A132" s="32"/>
    </row>
    <row r="133" spans="1:1">
      <c r="A133" s="32"/>
    </row>
    <row r="134" spans="1:1">
      <c r="A134" s="32"/>
    </row>
    <row r="135" spans="1:1">
      <c r="A135" s="32"/>
    </row>
    <row r="136" spans="1:1">
      <c r="A136" s="32"/>
    </row>
    <row r="137" spans="1:1">
      <c r="A137" s="32"/>
    </row>
    <row r="138" spans="1:1">
      <c r="A138" s="32"/>
    </row>
    <row r="139" spans="1:1">
      <c r="A139" s="32"/>
    </row>
    <row r="140" spans="1:1">
      <c r="A140" s="32"/>
    </row>
    <row r="141" spans="1:1">
      <c r="A141" s="32"/>
    </row>
    <row r="142" spans="1:1">
      <c r="A142" s="32"/>
    </row>
    <row r="143" spans="1:1">
      <c r="A143" s="32"/>
    </row>
    <row r="144" spans="1:1">
      <c r="A144" s="32"/>
    </row>
    <row r="145" spans="1:1">
      <c r="A145" s="32"/>
    </row>
    <row r="146" spans="1:1">
      <c r="A146" s="32"/>
    </row>
    <row r="147" spans="1:1">
      <c r="A147" s="32"/>
    </row>
    <row r="148" spans="1:1">
      <c r="A148" s="32"/>
    </row>
    <row r="149" spans="1:1">
      <c r="A149" s="32"/>
    </row>
    <row r="150" spans="1:1">
      <c r="A150" s="32"/>
    </row>
    <row r="151" spans="1:1">
      <c r="A151" s="32"/>
    </row>
    <row r="152" spans="1:1">
      <c r="A152" s="32"/>
    </row>
    <row r="153" spans="1:1">
      <c r="A153" s="32"/>
    </row>
    <row r="154" spans="1:1">
      <c r="A154" s="32"/>
    </row>
    <row r="155" spans="1:1">
      <c r="A155" s="32"/>
    </row>
    <row r="156" spans="1:1">
      <c r="A156" s="32"/>
    </row>
    <row r="157" spans="1:1">
      <c r="A157" s="32"/>
    </row>
    <row r="158" spans="1:1">
      <c r="A158" s="32"/>
    </row>
    <row r="159" spans="1:1">
      <c r="A159" s="32"/>
    </row>
    <row r="160" spans="1:1">
      <c r="A160" s="32"/>
    </row>
    <row r="161" spans="1:1">
      <c r="A161" s="32"/>
    </row>
    <row r="162" spans="1:1">
      <c r="A162" s="32"/>
    </row>
    <row r="163" spans="1:1">
      <c r="A163" s="32"/>
    </row>
    <row r="164" spans="1:1">
      <c r="A164" s="32"/>
    </row>
    <row r="165" spans="1:1">
      <c r="A165" s="32"/>
    </row>
    <row r="166" spans="1:1">
      <c r="A166" s="32"/>
    </row>
    <row r="167" spans="1:1">
      <c r="A167" s="32"/>
    </row>
    <row r="168" spans="1:1">
      <c r="A168" s="32"/>
    </row>
    <row r="169" spans="1:1">
      <c r="A169" s="32"/>
    </row>
    <row r="170" spans="1:1">
      <c r="A170" s="32"/>
    </row>
    <row r="171" spans="1:1">
      <c r="A171" s="32"/>
    </row>
    <row r="172" spans="1:1">
      <c r="A172" s="32"/>
    </row>
    <row r="173" spans="1:1">
      <c r="A173" s="32"/>
    </row>
    <row r="174" spans="1:1">
      <c r="A174" s="32"/>
    </row>
    <row r="175" spans="1:1">
      <c r="A175" s="32"/>
    </row>
    <row r="176" spans="1:1">
      <c r="A176" s="32"/>
    </row>
    <row r="177" spans="1:1">
      <c r="A177" s="32"/>
    </row>
    <row r="178" spans="1:1">
      <c r="A178" s="32"/>
    </row>
    <row r="179" spans="1:1">
      <c r="A179" s="32"/>
    </row>
    <row r="180" spans="1:1">
      <c r="A180" s="32"/>
    </row>
    <row r="181" spans="1:1">
      <c r="A181" s="32"/>
    </row>
    <row r="182" spans="1:1">
      <c r="A182" s="32"/>
    </row>
    <row r="183" spans="1:1">
      <c r="A183" s="32"/>
    </row>
  </sheetData>
  <mergeCells count="94">
    <mergeCell ref="C42:I42"/>
    <mergeCell ref="K42:M42"/>
    <mergeCell ref="A41:B41"/>
    <mergeCell ref="C41:I41"/>
    <mergeCell ref="K41:M41"/>
    <mergeCell ref="A15:B15"/>
    <mergeCell ref="C15:I15"/>
    <mergeCell ref="K15:M15"/>
    <mergeCell ref="C16:I16"/>
    <mergeCell ref="K16:M16"/>
    <mergeCell ref="A1:O1"/>
    <mergeCell ref="H12:I12"/>
    <mergeCell ref="P8:Q8"/>
    <mergeCell ref="P10:Q10"/>
    <mergeCell ref="N4:O4"/>
    <mergeCell ref="A12:F12"/>
    <mergeCell ref="J9:K9"/>
    <mergeCell ref="J10:K10"/>
    <mergeCell ref="J11:K11"/>
    <mergeCell ref="J12:K12"/>
    <mergeCell ref="L5:M5"/>
    <mergeCell ref="H6:I6"/>
    <mergeCell ref="H7:I7"/>
    <mergeCell ref="H8:I8"/>
    <mergeCell ref="H9:I9"/>
    <mergeCell ref="L9:M9"/>
    <mergeCell ref="R12:S12"/>
    <mergeCell ref="P5:Q5"/>
    <mergeCell ref="P6:Q6"/>
    <mergeCell ref="P7:Q7"/>
    <mergeCell ref="P9:Q9"/>
    <mergeCell ref="P11:Q11"/>
    <mergeCell ref="P12:Q12"/>
    <mergeCell ref="R8:S8"/>
    <mergeCell ref="R11:S11"/>
    <mergeCell ref="R5:S5"/>
    <mergeCell ref="R6:S6"/>
    <mergeCell ref="R7:S7"/>
    <mergeCell ref="N5:O5"/>
    <mergeCell ref="N6:O6"/>
    <mergeCell ref="N7:O7"/>
    <mergeCell ref="N8:O8"/>
    <mergeCell ref="O27:P27"/>
    <mergeCell ref="G26:P26"/>
    <mergeCell ref="N11:O11"/>
    <mergeCell ref="N12:O12"/>
    <mergeCell ref="L12:M12"/>
    <mergeCell ref="L11:M11"/>
    <mergeCell ref="J5:K5"/>
    <mergeCell ref="J6:K6"/>
    <mergeCell ref="J7:K7"/>
    <mergeCell ref="L8:M8"/>
    <mergeCell ref="L7:M7"/>
    <mergeCell ref="A23:M23"/>
    <mergeCell ref="Q27:Q28"/>
    <mergeCell ref="R27:S27"/>
    <mergeCell ref="Q26:S26"/>
    <mergeCell ref="E27:E28"/>
    <mergeCell ref="F27:F28"/>
    <mergeCell ref="G27:H27"/>
    <mergeCell ref="I27:J27"/>
    <mergeCell ref="K27:L27"/>
    <mergeCell ref="M27:N27"/>
    <mergeCell ref="A26:A28"/>
    <mergeCell ref="B26:D26"/>
    <mergeCell ref="B27:B28"/>
    <mergeCell ref="C27:D27"/>
    <mergeCell ref="E26:F26"/>
    <mergeCell ref="A9:F9"/>
    <mergeCell ref="A10:F10"/>
    <mergeCell ref="A11:F11"/>
    <mergeCell ref="R9:S9"/>
    <mergeCell ref="R10:S10"/>
    <mergeCell ref="N9:O9"/>
    <mergeCell ref="N10:O10"/>
    <mergeCell ref="L10:M10"/>
    <mergeCell ref="H11:I11"/>
    <mergeCell ref="H10:I10"/>
    <mergeCell ref="J8:K8"/>
    <mergeCell ref="L6:M6"/>
    <mergeCell ref="H3:K3"/>
    <mergeCell ref="A2:H2"/>
    <mergeCell ref="H4:I4"/>
    <mergeCell ref="A3:F4"/>
    <mergeCell ref="A5:F5"/>
    <mergeCell ref="A6:F6"/>
    <mergeCell ref="A7:F7"/>
    <mergeCell ref="A8:F8"/>
    <mergeCell ref="H5:I5"/>
    <mergeCell ref="J4:K4"/>
    <mergeCell ref="L3:S3"/>
    <mergeCell ref="R4:S4"/>
    <mergeCell ref="P4:Q4"/>
    <mergeCell ref="L4:M4"/>
  </mergeCells>
  <phoneticPr fontId="0" type="noConversion"/>
  <pageMargins left="1.1811023622047245" right="0.39370078740157483" top="0.78740157480314965" bottom="0.78740157480314965" header="0.27559055118110237" footer="0.31496062992125984"/>
  <pageSetup paperSize="9" scale="40" firstPageNumber="9" orientation="landscape" useFirstPageNumber="1" r:id="rId1"/>
  <headerFooter alignWithMargins="0">
    <oddHeader xml:space="preserve">&amp;R&amp;"Times New Roman,звичайний"&amp;14Продовження додатка 3
Таблиця 4 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F55"/>
  <sheetViews>
    <sheetView view="pageBreakPreview" topLeftCell="A7" zoomScale="62" zoomScaleNormal="54" zoomScaleSheetLayoutView="62" workbookViewId="0">
      <selection activeCell="B34" sqref="A34:E35"/>
    </sheetView>
  </sheetViews>
  <sheetFormatPr defaultRowHeight="18.75"/>
  <cols>
    <col min="1" max="1" width="7.85546875" style="2" customWidth="1"/>
    <col min="2" max="2" width="4.42578125" style="2" customWidth="1"/>
    <col min="3" max="3" width="25.28515625" style="2" customWidth="1"/>
    <col min="4" max="6" width="8.42578125" style="2" customWidth="1"/>
    <col min="7" max="7" width="10" style="2" customWidth="1"/>
    <col min="8" max="8" width="11.28515625" style="2" customWidth="1"/>
    <col min="9" max="9" width="10.28515625" style="2" customWidth="1"/>
    <col min="10" max="29" width="15.140625" style="2" customWidth="1"/>
    <col min="30" max="16384" width="9.140625" style="2"/>
  </cols>
  <sheetData>
    <row r="1" spans="1:29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O1" s="18"/>
      <c r="P1" s="18"/>
      <c r="Q1" s="18"/>
      <c r="R1" s="18"/>
      <c r="S1" s="18"/>
      <c r="AC1" s="18"/>
    </row>
    <row r="2" spans="1:29" ht="16.5" customHeight="1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O2" s="18"/>
      <c r="P2" s="18"/>
      <c r="Q2" s="18"/>
      <c r="R2" s="18"/>
      <c r="S2" s="18"/>
      <c r="AC2" s="18"/>
    </row>
    <row r="3" spans="1:29" s="24" customFormat="1" ht="18.75" customHeight="1">
      <c r="A3" s="191"/>
      <c r="B3" s="191"/>
      <c r="C3" s="191" t="s">
        <v>350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</row>
    <row r="4" spans="1:29" s="24" customFormat="1" ht="18.75" customHeight="1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</row>
    <row r="5" spans="1:29">
      <c r="A5" s="16"/>
      <c r="B5" s="16"/>
      <c r="C5" s="16"/>
      <c r="D5" s="16"/>
      <c r="E5" s="16"/>
      <c r="F5" s="16"/>
      <c r="G5" s="16"/>
      <c r="H5" s="16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6"/>
      <c r="W5" s="357"/>
      <c r="X5" s="357"/>
      <c r="Y5" s="357"/>
      <c r="AA5" s="367" t="s">
        <v>351</v>
      </c>
      <c r="AB5" s="367"/>
      <c r="AC5" s="367"/>
    </row>
    <row r="6" spans="1:29" ht="24.95" customHeight="1">
      <c r="A6" s="358" t="s">
        <v>352</v>
      </c>
      <c r="B6" s="361" t="s">
        <v>353</v>
      </c>
      <c r="C6" s="362"/>
      <c r="D6" s="362"/>
      <c r="E6" s="362"/>
      <c r="F6" s="362"/>
      <c r="G6" s="362"/>
      <c r="H6" s="362"/>
      <c r="I6" s="362"/>
      <c r="J6" s="352" t="s">
        <v>354</v>
      </c>
      <c r="K6" s="353"/>
      <c r="L6" s="353"/>
      <c r="M6" s="354"/>
      <c r="N6" s="352" t="s">
        <v>355</v>
      </c>
      <c r="O6" s="353"/>
      <c r="P6" s="353"/>
      <c r="Q6" s="354"/>
      <c r="R6" s="352" t="s">
        <v>356</v>
      </c>
      <c r="S6" s="353"/>
      <c r="T6" s="353"/>
      <c r="U6" s="354"/>
      <c r="V6" s="352" t="s">
        <v>439</v>
      </c>
      <c r="W6" s="353"/>
      <c r="X6" s="353"/>
      <c r="Y6" s="354"/>
      <c r="Z6" s="352" t="s">
        <v>141</v>
      </c>
      <c r="AA6" s="353"/>
      <c r="AB6" s="353"/>
      <c r="AC6" s="354"/>
    </row>
    <row r="7" spans="1:29" ht="24.95" customHeight="1">
      <c r="A7" s="359"/>
      <c r="B7" s="363"/>
      <c r="C7" s="364"/>
      <c r="D7" s="364"/>
      <c r="E7" s="364"/>
      <c r="F7" s="364"/>
      <c r="G7" s="364"/>
      <c r="H7" s="364"/>
      <c r="I7" s="364"/>
      <c r="J7" s="355" t="s">
        <v>340</v>
      </c>
      <c r="K7" s="355" t="s">
        <v>31</v>
      </c>
      <c r="L7" s="355" t="s">
        <v>32</v>
      </c>
      <c r="M7" s="355" t="s">
        <v>33</v>
      </c>
      <c r="N7" s="355" t="s">
        <v>340</v>
      </c>
      <c r="O7" s="355" t="s">
        <v>31</v>
      </c>
      <c r="P7" s="355" t="s">
        <v>32</v>
      </c>
      <c r="Q7" s="355" t="s">
        <v>33</v>
      </c>
      <c r="R7" s="355" t="s">
        <v>340</v>
      </c>
      <c r="S7" s="355" t="s">
        <v>31</v>
      </c>
      <c r="T7" s="355" t="s">
        <v>32</v>
      </c>
      <c r="U7" s="355" t="s">
        <v>33</v>
      </c>
      <c r="V7" s="355" t="s">
        <v>340</v>
      </c>
      <c r="W7" s="355" t="s">
        <v>31</v>
      </c>
      <c r="X7" s="355" t="s">
        <v>32</v>
      </c>
      <c r="Y7" s="355" t="s">
        <v>33</v>
      </c>
      <c r="Z7" s="355" t="s">
        <v>340</v>
      </c>
      <c r="AA7" s="355" t="s">
        <v>31</v>
      </c>
      <c r="AB7" s="355" t="s">
        <v>32</v>
      </c>
      <c r="AC7" s="355" t="s">
        <v>33</v>
      </c>
    </row>
    <row r="8" spans="1:29" ht="24.95" customHeight="1">
      <c r="A8" s="360"/>
      <c r="B8" s="365"/>
      <c r="C8" s="366"/>
      <c r="D8" s="366"/>
      <c r="E8" s="366"/>
      <c r="F8" s="366"/>
      <c r="G8" s="366"/>
      <c r="H8" s="366"/>
      <c r="I8" s="36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</row>
    <row r="9" spans="1:29" ht="18.75" customHeight="1">
      <c r="A9" s="211">
        <v>1</v>
      </c>
      <c r="B9" s="368">
        <v>2</v>
      </c>
      <c r="C9" s="368"/>
      <c r="D9" s="368"/>
      <c r="E9" s="368"/>
      <c r="F9" s="368"/>
      <c r="G9" s="368"/>
      <c r="H9" s="368"/>
      <c r="I9" s="368"/>
      <c r="J9" s="47">
        <v>3</v>
      </c>
      <c r="K9" s="47">
        <v>4</v>
      </c>
      <c r="L9" s="47">
        <v>5</v>
      </c>
      <c r="M9" s="47">
        <v>6</v>
      </c>
      <c r="N9" s="47">
        <v>7</v>
      </c>
      <c r="O9" s="47">
        <v>8</v>
      </c>
      <c r="P9" s="47">
        <v>9</v>
      </c>
      <c r="Q9" s="47">
        <v>10</v>
      </c>
      <c r="R9" s="47">
        <v>11</v>
      </c>
      <c r="S9" s="47">
        <v>12</v>
      </c>
      <c r="T9" s="47">
        <v>13</v>
      </c>
      <c r="U9" s="47">
        <v>14</v>
      </c>
      <c r="V9" s="47">
        <v>15</v>
      </c>
      <c r="W9" s="47">
        <v>16</v>
      </c>
      <c r="X9" s="47">
        <v>17</v>
      </c>
      <c r="Y9" s="47">
        <v>18</v>
      </c>
      <c r="Z9" s="47">
        <v>19</v>
      </c>
      <c r="AA9" s="47">
        <v>20</v>
      </c>
      <c r="AB9" s="47">
        <v>21</v>
      </c>
      <c r="AC9" s="47">
        <v>22</v>
      </c>
    </row>
    <row r="10" spans="1:29" ht="20.100000000000001" customHeight="1">
      <c r="A10" s="48">
        <v>1</v>
      </c>
      <c r="B10" s="374" t="s">
        <v>357</v>
      </c>
      <c r="C10" s="374"/>
      <c r="D10" s="374"/>
      <c r="E10" s="374"/>
      <c r="F10" s="374"/>
      <c r="G10" s="374"/>
      <c r="H10" s="374"/>
      <c r="I10" s="374"/>
      <c r="J10" s="52"/>
      <c r="K10" s="52"/>
      <c r="L10" s="52">
        <f t="shared" ref="L10:L15" si="0">K10-J10</f>
        <v>0</v>
      </c>
      <c r="M10" s="75" t="e">
        <f t="shared" ref="M10:M16" si="1">K10/J10*100</f>
        <v>#DIV/0!</v>
      </c>
      <c r="N10" s="52"/>
      <c r="O10" s="52"/>
      <c r="P10" s="52">
        <f t="shared" ref="P10:P15" si="2">O10-N10</f>
        <v>0</v>
      </c>
      <c r="Q10" s="75" t="e">
        <f t="shared" ref="Q10:Q16" si="3">O10/N10*100</f>
        <v>#DIV/0!</v>
      </c>
      <c r="R10" s="52"/>
      <c r="S10" s="52"/>
      <c r="T10" s="52">
        <f t="shared" ref="T10:T15" si="4">S10-R10</f>
        <v>0</v>
      </c>
      <c r="U10" s="75" t="e">
        <f t="shared" ref="U10:U16" si="5">S10/R10*100</f>
        <v>#DIV/0!</v>
      </c>
      <c r="V10" s="52"/>
      <c r="W10" s="52"/>
      <c r="X10" s="52">
        <f t="shared" ref="X10:X15" si="6">W10-V10</f>
        <v>0</v>
      </c>
      <c r="Y10" s="75" t="e">
        <f t="shared" ref="Y10:Y16" si="7">W10/V10*100</f>
        <v>#DIV/0!</v>
      </c>
      <c r="Z10" s="204">
        <f t="shared" ref="Z10:AA15" si="8">SUM(J10,N10,R10,V10)</f>
        <v>0</v>
      </c>
      <c r="AA10" s="204">
        <f t="shared" si="8"/>
        <v>0</v>
      </c>
      <c r="AB10" s="52">
        <f t="shared" ref="AB10:AB15" si="9">AA10-Z10</f>
        <v>0</v>
      </c>
      <c r="AC10" s="75" t="e">
        <f t="shared" ref="AC10:AC16" si="10">AA10/Z10*100</f>
        <v>#DIV/0!</v>
      </c>
    </row>
    <row r="11" spans="1:29" ht="90.75" customHeight="1">
      <c r="A11" s="48">
        <v>2</v>
      </c>
      <c r="B11" s="374" t="s">
        <v>429</v>
      </c>
      <c r="C11" s="374"/>
      <c r="D11" s="374"/>
      <c r="E11" s="374"/>
      <c r="F11" s="374"/>
      <c r="G11" s="374"/>
      <c r="H11" s="374"/>
      <c r="I11" s="374"/>
      <c r="J11" s="52"/>
      <c r="K11" s="52"/>
      <c r="L11" s="52">
        <f t="shared" si="0"/>
        <v>0</v>
      </c>
      <c r="M11" s="75" t="e">
        <f t="shared" si="1"/>
        <v>#DIV/0!</v>
      </c>
      <c r="N11" s="52">
        <v>1000</v>
      </c>
      <c r="O11" s="52">
        <v>410.4</v>
      </c>
      <c r="P11" s="52">
        <f t="shared" si="2"/>
        <v>-589.6</v>
      </c>
      <c r="Q11" s="75">
        <f t="shared" si="3"/>
        <v>41.04</v>
      </c>
      <c r="R11" s="52"/>
      <c r="S11" s="52">
        <v>89</v>
      </c>
      <c r="T11" s="52">
        <f t="shared" si="4"/>
        <v>89</v>
      </c>
      <c r="U11" s="75" t="e">
        <f t="shared" si="5"/>
        <v>#DIV/0!</v>
      </c>
      <c r="V11" s="52"/>
      <c r="W11" s="52">
        <v>505.6</v>
      </c>
      <c r="X11" s="52">
        <f t="shared" si="6"/>
        <v>505.6</v>
      </c>
      <c r="Y11" s="75" t="e">
        <f t="shared" si="7"/>
        <v>#DIV/0!</v>
      </c>
      <c r="Z11" s="204">
        <f t="shared" si="8"/>
        <v>1000</v>
      </c>
      <c r="AA11" s="204">
        <f t="shared" si="8"/>
        <v>1005</v>
      </c>
      <c r="AB11" s="52">
        <f t="shared" si="9"/>
        <v>5</v>
      </c>
      <c r="AC11" s="75">
        <f t="shared" si="10"/>
        <v>100.49999999999999</v>
      </c>
    </row>
    <row r="12" spans="1:29" ht="120.75" customHeight="1">
      <c r="A12" s="48">
        <v>3</v>
      </c>
      <c r="B12" s="374" t="s">
        <v>430</v>
      </c>
      <c r="C12" s="374"/>
      <c r="D12" s="374"/>
      <c r="E12" s="374"/>
      <c r="F12" s="374"/>
      <c r="G12" s="374"/>
      <c r="H12" s="374"/>
      <c r="I12" s="374"/>
      <c r="J12" s="52"/>
      <c r="K12" s="52"/>
      <c r="L12" s="52">
        <f t="shared" si="0"/>
        <v>0</v>
      </c>
      <c r="M12" s="75" t="e">
        <f t="shared" si="1"/>
        <v>#DIV/0!</v>
      </c>
      <c r="N12" s="52"/>
      <c r="O12" s="52"/>
      <c r="P12" s="52">
        <f t="shared" si="2"/>
        <v>0</v>
      </c>
      <c r="Q12" s="75" t="e">
        <f t="shared" si="3"/>
        <v>#DIV/0!</v>
      </c>
      <c r="R12" s="52">
        <v>100</v>
      </c>
      <c r="S12" s="52">
        <v>156.6</v>
      </c>
      <c r="T12" s="52">
        <f t="shared" si="4"/>
        <v>56.599999999999994</v>
      </c>
      <c r="U12" s="75">
        <f t="shared" si="5"/>
        <v>156.6</v>
      </c>
      <c r="V12" s="52"/>
      <c r="W12" s="52"/>
      <c r="X12" s="52">
        <f t="shared" si="6"/>
        <v>0</v>
      </c>
      <c r="Y12" s="75" t="e">
        <f t="shared" si="7"/>
        <v>#DIV/0!</v>
      </c>
      <c r="Z12" s="204">
        <f t="shared" si="8"/>
        <v>100</v>
      </c>
      <c r="AA12" s="204">
        <f t="shared" si="8"/>
        <v>156.6</v>
      </c>
      <c r="AB12" s="52">
        <f t="shared" si="9"/>
        <v>56.599999999999994</v>
      </c>
      <c r="AC12" s="75">
        <f t="shared" si="10"/>
        <v>156.6</v>
      </c>
    </row>
    <row r="13" spans="1:29" ht="42" customHeight="1">
      <c r="A13" s="48">
        <v>4</v>
      </c>
      <c r="B13" s="370" t="s">
        <v>358</v>
      </c>
      <c r="C13" s="371"/>
      <c r="D13" s="371"/>
      <c r="E13" s="371"/>
      <c r="F13" s="371"/>
      <c r="G13" s="371"/>
      <c r="H13" s="371"/>
      <c r="I13" s="371"/>
      <c r="J13" s="52"/>
      <c r="K13" s="52"/>
      <c r="L13" s="52">
        <f t="shared" si="0"/>
        <v>0</v>
      </c>
      <c r="M13" s="75" t="e">
        <f t="shared" si="1"/>
        <v>#DIV/0!</v>
      </c>
      <c r="N13" s="52"/>
      <c r="O13" s="52"/>
      <c r="P13" s="52">
        <f t="shared" si="2"/>
        <v>0</v>
      </c>
      <c r="Q13" s="75" t="e">
        <f t="shared" si="3"/>
        <v>#DIV/0!</v>
      </c>
      <c r="R13" s="52"/>
      <c r="S13" s="52"/>
      <c r="T13" s="52">
        <f t="shared" si="4"/>
        <v>0</v>
      </c>
      <c r="U13" s="75" t="e">
        <f t="shared" si="5"/>
        <v>#DIV/0!</v>
      </c>
      <c r="V13" s="52"/>
      <c r="W13" s="52"/>
      <c r="X13" s="52">
        <f t="shared" si="6"/>
        <v>0</v>
      </c>
      <c r="Y13" s="75" t="e">
        <f t="shared" si="7"/>
        <v>#DIV/0!</v>
      </c>
      <c r="Z13" s="204">
        <f t="shared" si="8"/>
        <v>0</v>
      </c>
      <c r="AA13" s="204">
        <f t="shared" si="8"/>
        <v>0</v>
      </c>
      <c r="AB13" s="52">
        <f t="shared" si="9"/>
        <v>0</v>
      </c>
      <c r="AC13" s="75" t="e">
        <f t="shared" si="10"/>
        <v>#DIV/0!</v>
      </c>
    </row>
    <row r="14" spans="1:29" ht="37.5" customHeight="1">
      <c r="A14" s="48">
        <v>5</v>
      </c>
      <c r="B14" s="370" t="s">
        <v>359</v>
      </c>
      <c r="C14" s="371"/>
      <c r="D14" s="371"/>
      <c r="E14" s="371"/>
      <c r="F14" s="371"/>
      <c r="G14" s="371"/>
      <c r="H14" s="371"/>
      <c r="I14" s="371"/>
      <c r="J14" s="52"/>
      <c r="K14" s="52"/>
      <c r="L14" s="52">
        <f t="shared" si="0"/>
        <v>0</v>
      </c>
      <c r="M14" s="75" t="e">
        <f t="shared" si="1"/>
        <v>#DIV/0!</v>
      </c>
      <c r="N14" s="52"/>
      <c r="O14" s="52"/>
      <c r="P14" s="52">
        <f t="shared" si="2"/>
        <v>0</v>
      </c>
      <c r="Q14" s="75" t="e">
        <f t="shared" si="3"/>
        <v>#DIV/0!</v>
      </c>
      <c r="R14" s="52"/>
      <c r="S14" s="52"/>
      <c r="T14" s="52">
        <f t="shared" si="4"/>
        <v>0</v>
      </c>
      <c r="U14" s="75" t="e">
        <f t="shared" si="5"/>
        <v>#DIV/0!</v>
      </c>
      <c r="V14" s="52"/>
      <c r="W14" s="52"/>
      <c r="X14" s="52">
        <f t="shared" si="6"/>
        <v>0</v>
      </c>
      <c r="Y14" s="75" t="e">
        <f t="shared" si="7"/>
        <v>#DIV/0!</v>
      </c>
      <c r="Z14" s="204">
        <f t="shared" si="8"/>
        <v>0</v>
      </c>
      <c r="AA14" s="204">
        <f t="shared" si="8"/>
        <v>0</v>
      </c>
      <c r="AB14" s="52">
        <f t="shared" si="9"/>
        <v>0</v>
      </c>
      <c r="AC14" s="75" t="e">
        <f t="shared" si="10"/>
        <v>#DIV/0!</v>
      </c>
    </row>
    <row r="15" spans="1:29" ht="20.100000000000001" customHeight="1">
      <c r="A15" s="48">
        <v>6</v>
      </c>
      <c r="B15" s="374" t="s">
        <v>331</v>
      </c>
      <c r="C15" s="374"/>
      <c r="D15" s="374"/>
      <c r="E15" s="374"/>
      <c r="F15" s="374"/>
      <c r="G15" s="374"/>
      <c r="H15" s="374"/>
      <c r="I15" s="374"/>
      <c r="J15" s="52"/>
      <c r="K15" s="52"/>
      <c r="L15" s="52">
        <f t="shared" si="0"/>
        <v>0</v>
      </c>
      <c r="M15" s="75" t="e">
        <f t="shared" si="1"/>
        <v>#DIV/0!</v>
      </c>
      <c r="N15" s="52"/>
      <c r="O15" s="52"/>
      <c r="P15" s="52">
        <f t="shared" si="2"/>
        <v>0</v>
      </c>
      <c r="Q15" s="75" t="e">
        <f t="shared" si="3"/>
        <v>#DIV/0!</v>
      </c>
      <c r="R15" s="52"/>
      <c r="S15" s="52"/>
      <c r="T15" s="52">
        <f t="shared" si="4"/>
        <v>0</v>
      </c>
      <c r="U15" s="75" t="e">
        <f t="shared" si="5"/>
        <v>#DIV/0!</v>
      </c>
      <c r="V15" s="52"/>
      <c r="W15" s="52"/>
      <c r="X15" s="52">
        <f t="shared" si="6"/>
        <v>0</v>
      </c>
      <c r="Y15" s="75" t="e">
        <f t="shared" si="7"/>
        <v>#DIV/0!</v>
      </c>
      <c r="Z15" s="204">
        <f t="shared" si="8"/>
        <v>0</v>
      </c>
      <c r="AA15" s="204">
        <f t="shared" si="8"/>
        <v>0</v>
      </c>
      <c r="AB15" s="52">
        <f t="shared" si="9"/>
        <v>0</v>
      </c>
      <c r="AC15" s="75" t="e">
        <f t="shared" si="10"/>
        <v>#DIV/0!</v>
      </c>
    </row>
    <row r="16" spans="1:29" ht="24.95" customHeight="1">
      <c r="A16" s="372" t="s">
        <v>141</v>
      </c>
      <c r="B16" s="373"/>
      <c r="C16" s="373"/>
      <c r="D16" s="373"/>
      <c r="E16" s="373"/>
      <c r="F16" s="373"/>
      <c r="G16" s="373"/>
      <c r="H16" s="373"/>
      <c r="I16" s="373"/>
      <c r="J16" s="213">
        <f t="shared" ref="J16:AA16" si="11">SUM(J10:J15)</f>
        <v>0</v>
      </c>
      <c r="K16" s="213">
        <f t="shared" si="11"/>
        <v>0</v>
      </c>
      <c r="L16" s="65">
        <f>SUM(L10:L15)</f>
        <v>0</v>
      </c>
      <c r="M16" s="76" t="e">
        <f t="shared" si="1"/>
        <v>#DIV/0!</v>
      </c>
      <c r="N16" s="213">
        <f t="shared" si="11"/>
        <v>1000</v>
      </c>
      <c r="O16" s="213">
        <f t="shared" si="11"/>
        <v>410.4</v>
      </c>
      <c r="P16" s="65">
        <f>SUM(P10:P15)</f>
        <v>-589.6</v>
      </c>
      <c r="Q16" s="76">
        <f t="shared" si="3"/>
        <v>41.04</v>
      </c>
      <c r="R16" s="213">
        <f t="shared" si="11"/>
        <v>100</v>
      </c>
      <c r="S16" s="213">
        <f t="shared" si="11"/>
        <v>245.6</v>
      </c>
      <c r="T16" s="65">
        <f>SUM(T10:T15)</f>
        <v>145.6</v>
      </c>
      <c r="U16" s="76">
        <f t="shared" si="5"/>
        <v>245.6</v>
      </c>
      <c r="V16" s="213">
        <f t="shared" si="11"/>
        <v>0</v>
      </c>
      <c r="W16" s="213">
        <f t="shared" si="11"/>
        <v>505.6</v>
      </c>
      <c r="X16" s="65">
        <f>SUM(X10:X15)</f>
        <v>505.6</v>
      </c>
      <c r="Y16" s="76" t="e">
        <f t="shared" si="7"/>
        <v>#DIV/0!</v>
      </c>
      <c r="Z16" s="213">
        <f t="shared" si="11"/>
        <v>1100</v>
      </c>
      <c r="AA16" s="213">
        <f t="shared" si="11"/>
        <v>1161.5999999999999</v>
      </c>
      <c r="AB16" s="65">
        <f>SUM(AB10:AB15)</f>
        <v>61.599999999999994</v>
      </c>
      <c r="AC16" s="76">
        <f t="shared" si="10"/>
        <v>105.59999999999998</v>
      </c>
    </row>
    <row r="17" spans="1:32" ht="24.95" customHeight="1">
      <c r="A17" s="370" t="s">
        <v>360</v>
      </c>
      <c r="B17" s="371"/>
      <c r="C17" s="371"/>
      <c r="D17" s="371"/>
      <c r="E17" s="371"/>
      <c r="F17" s="371"/>
      <c r="G17" s="371"/>
      <c r="H17" s="371"/>
      <c r="I17" s="371"/>
      <c r="J17" s="205">
        <f>J16/Z16*100</f>
        <v>0</v>
      </c>
      <c r="K17" s="205">
        <f>K16/AA16*100</f>
        <v>0</v>
      </c>
      <c r="L17" s="46"/>
      <c r="M17" s="46"/>
      <c r="N17" s="205">
        <f>N16/Z16*100</f>
        <v>90.909090909090907</v>
      </c>
      <c r="O17" s="205">
        <f>O16/AA16*100</f>
        <v>35.330578512396691</v>
      </c>
      <c r="P17" s="46"/>
      <c r="Q17" s="46"/>
      <c r="R17" s="205">
        <f>R16/Z16*100</f>
        <v>9.0909090909090917</v>
      </c>
      <c r="S17" s="205">
        <f>S16/AA16*100</f>
        <v>21.143250688705233</v>
      </c>
      <c r="T17" s="46"/>
      <c r="U17" s="46"/>
      <c r="V17" s="205">
        <f>V16/Z16*100</f>
        <v>0</v>
      </c>
      <c r="W17" s="205">
        <f>W16/AA16*100</f>
        <v>43.526170798898079</v>
      </c>
      <c r="X17" s="46"/>
      <c r="Y17" s="46"/>
      <c r="Z17" s="205">
        <f>SUM(J17,N17,R17,V17)</f>
        <v>100</v>
      </c>
      <c r="AA17" s="205">
        <f>SUM(K17,O17,S17,W17)</f>
        <v>100</v>
      </c>
      <c r="AB17" s="46"/>
      <c r="AC17" s="46"/>
    </row>
    <row r="18" spans="1:32" ht="15" customHeight="1">
      <c r="A18" s="12"/>
      <c r="B18" s="12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32" ht="15" customHeight="1">
      <c r="A19" s="12"/>
      <c r="B19" s="12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32" ht="15" customHeight="1">
      <c r="A20" s="12"/>
      <c r="B20" s="12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32" ht="20.25" customHeight="1">
      <c r="A21" s="12"/>
      <c r="B21" s="12"/>
      <c r="C21" s="5" t="s">
        <v>361</v>
      </c>
      <c r="D21" s="5"/>
      <c r="E21" s="5"/>
      <c r="F21" s="5"/>
      <c r="G21" s="5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32" ht="21.75" customHeight="1">
      <c r="A22" s="12"/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32" ht="21.75" customHeight="1">
      <c r="A23" s="12"/>
      <c r="B23" s="12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32" ht="30" customHeight="1">
      <c r="A24" s="330" t="s">
        <v>352</v>
      </c>
      <c r="B24" s="331" t="s">
        <v>362</v>
      </c>
      <c r="C24" s="332"/>
      <c r="D24" s="337" t="s">
        <v>363</v>
      </c>
      <c r="E24" s="337"/>
      <c r="F24" s="337" t="s">
        <v>364</v>
      </c>
      <c r="G24" s="337"/>
      <c r="H24" s="337" t="s">
        <v>365</v>
      </c>
      <c r="I24" s="337"/>
      <c r="J24" s="337" t="s">
        <v>366</v>
      </c>
      <c r="K24" s="337"/>
      <c r="L24" s="337" t="s">
        <v>27</v>
      </c>
      <c r="M24" s="337"/>
      <c r="N24" s="337"/>
      <c r="O24" s="337"/>
      <c r="P24" s="337"/>
      <c r="Q24" s="337"/>
      <c r="R24" s="337"/>
      <c r="S24" s="337"/>
      <c r="T24" s="337"/>
      <c r="U24" s="337"/>
      <c r="V24" s="338" t="s">
        <v>367</v>
      </c>
      <c r="W24" s="338"/>
      <c r="X24" s="338"/>
      <c r="Y24" s="338"/>
      <c r="Z24" s="338"/>
      <c r="AA24" s="338" t="s">
        <v>368</v>
      </c>
      <c r="AB24" s="338"/>
      <c r="AC24" s="338"/>
      <c r="AD24" s="338"/>
      <c r="AE24" s="338"/>
      <c r="AF24" s="338"/>
    </row>
    <row r="25" spans="1:32" ht="31.5" customHeight="1">
      <c r="A25" s="330"/>
      <c r="B25" s="333"/>
      <c r="C25" s="334"/>
      <c r="D25" s="337"/>
      <c r="E25" s="337"/>
      <c r="F25" s="337"/>
      <c r="G25" s="337"/>
      <c r="H25" s="337"/>
      <c r="I25" s="337"/>
      <c r="J25" s="337"/>
      <c r="K25" s="337"/>
      <c r="L25" s="337" t="s">
        <v>369</v>
      </c>
      <c r="M25" s="337"/>
      <c r="N25" s="337" t="s">
        <v>370</v>
      </c>
      <c r="O25" s="337"/>
      <c r="P25" s="337" t="s">
        <v>371</v>
      </c>
      <c r="Q25" s="337"/>
      <c r="R25" s="337"/>
      <c r="S25" s="337"/>
      <c r="T25" s="337"/>
      <c r="U25" s="337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</row>
    <row r="26" spans="1:32" ht="114.75" customHeight="1">
      <c r="A26" s="330"/>
      <c r="B26" s="335"/>
      <c r="C26" s="336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 t="s">
        <v>372</v>
      </c>
      <c r="Q26" s="337"/>
      <c r="R26" s="337" t="s">
        <v>373</v>
      </c>
      <c r="S26" s="337"/>
      <c r="T26" s="337" t="s">
        <v>374</v>
      </c>
      <c r="U26" s="337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</row>
    <row r="27" spans="1:32" ht="21.75" customHeight="1">
      <c r="A27" s="214">
        <v>1</v>
      </c>
      <c r="B27" s="348">
        <v>2</v>
      </c>
      <c r="C27" s="349"/>
      <c r="D27" s="337">
        <v>3</v>
      </c>
      <c r="E27" s="337"/>
      <c r="F27" s="337">
        <v>4</v>
      </c>
      <c r="G27" s="337"/>
      <c r="H27" s="337">
        <v>5</v>
      </c>
      <c r="I27" s="337"/>
      <c r="J27" s="337">
        <v>6</v>
      </c>
      <c r="K27" s="337"/>
      <c r="L27" s="348">
        <v>7</v>
      </c>
      <c r="M27" s="349"/>
      <c r="N27" s="348">
        <v>8</v>
      </c>
      <c r="O27" s="349"/>
      <c r="P27" s="337">
        <v>9</v>
      </c>
      <c r="Q27" s="337"/>
      <c r="R27" s="330">
        <v>10</v>
      </c>
      <c r="S27" s="330"/>
      <c r="T27" s="337">
        <v>11</v>
      </c>
      <c r="U27" s="337"/>
      <c r="V27" s="337">
        <v>12</v>
      </c>
      <c r="W27" s="337"/>
      <c r="X27" s="337"/>
      <c r="Y27" s="337"/>
      <c r="Z27" s="337"/>
      <c r="AA27" s="337">
        <v>13</v>
      </c>
      <c r="AB27" s="337"/>
      <c r="AC27" s="337"/>
      <c r="AD27" s="337"/>
      <c r="AE27" s="337"/>
      <c r="AF27" s="337"/>
    </row>
    <row r="28" spans="1:32" ht="21.75" customHeight="1">
      <c r="A28" s="140"/>
      <c r="B28" s="339"/>
      <c r="C28" s="340"/>
      <c r="D28" s="337"/>
      <c r="E28" s="337"/>
      <c r="F28" s="341"/>
      <c r="G28" s="341"/>
      <c r="H28" s="341"/>
      <c r="I28" s="341"/>
      <c r="J28" s="341"/>
      <c r="K28" s="341"/>
      <c r="L28" s="342"/>
      <c r="M28" s="343"/>
      <c r="N28" s="344">
        <f>SUM(P28,R28,T28)</f>
        <v>0</v>
      </c>
      <c r="O28" s="345"/>
      <c r="P28" s="341"/>
      <c r="Q28" s="341"/>
      <c r="R28" s="341"/>
      <c r="S28" s="341"/>
      <c r="T28" s="341"/>
      <c r="U28" s="341"/>
      <c r="V28" s="346"/>
      <c r="W28" s="346"/>
      <c r="X28" s="346"/>
      <c r="Y28" s="346"/>
      <c r="Z28" s="346"/>
      <c r="AA28" s="347"/>
      <c r="AB28" s="347"/>
      <c r="AC28" s="347"/>
      <c r="AD28" s="347"/>
      <c r="AE28" s="347"/>
      <c r="AF28" s="347"/>
    </row>
    <row r="29" spans="1:32" ht="21.75" customHeight="1">
      <c r="A29" s="140"/>
      <c r="B29" s="339"/>
      <c r="C29" s="340"/>
      <c r="D29" s="337"/>
      <c r="E29" s="337"/>
      <c r="F29" s="341"/>
      <c r="G29" s="341"/>
      <c r="H29" s="341"/>
      <c r="I29" s="341"/>
      <c r="J29" s="341"/>
      <c r="K29" s="341"/>
      <c r="L29" s="342"/>
      <c r="M29" s="343"/>
      <c r="N29" s="344">
        <f t="shared" ref="N29:N34" si="12">SUM(P29,R29,T29)</f>
        <v>0</v>
      </c>
      <c r="O29" s="345"/>
      <c r="P29" s="341"/>
      <c r="Q29" s="341"/>
      <c r="R29" s="341"/>
      <c r="S29" s="341"/>
      <c r="T29" s="341"/>
      <c r="U29" s="341"/>
      <c r="V29" s="346"/>
      <c r="W29" s="346"/>
      <c r="X29" s="346"/>
      <c r="Y29" s="346"/>
      <c r="Z29" s="346"/>
      <c r="AA29" s="347"/>
      <c r="AB29" s="347"/>
      <c r="AC29" s="347"/>
      <c r="AD29" s="347"/>
      <c r="AE29" s="347"/>
      <c r="AF29" s="347"/>
    </row>
    <row r="30" spans="1:32" ht="21.75" customHeight="1">
      <c r="A30" s="140"/>
      <c r="B30" s="339"/>
      <c r="C30" s="340"/>
      <c r="D30" s="337"/>
      <c r="E30" s="337"/>
      <c r="F30" s="341"/>
      <c r="G30" s="341"/>
      <c r="H30" s="341"/>
      <c r="I30" s="341"/>
      <c r="J30" s="341"/>
      <c r="K30" s="341"/>
      <c r="L30" s="342"/>
      <c r="M30" s="343"/>
      <c r="N30" s="344">
        <f t="shared" si="12"/>
        <v>0</v>
      </c>
      <c r="O30" s="345"/>
      <c r="P30" s="341"/>
      <c r="Q30" s="341"/>
      <c r="R30" s="341"/>
      <c r="S30" s="341"/>
      <c r="T30" s="341"/>
      <c r="U30" s="341"/>
      <c r="V30" s="346"/>
      <c r="W30" s="346"/>
      <c r="X30" s="346"/>
      <c r="Y30" s="346"/>
      <c r="Z30" s="346"/>
      <c r="AA30" s="347"/>
      <c r="AB30" s="347"/>
      <c r="AC30" s="347"/>
      <c r="AD30" s="347"/>
      <c r="AE30" s="347"/>
      <c r="AF30" s="347"/>
    </row>
    <row r="31" spans="1:32" ht="20.25" customHeight="1">
      <c r="A31" s="140"/>
      <c r="B31" s="339"/>
      <c r="C31" s="340"/>
      <c r="D31" s="337"/>
      <c r="E31" s="337"/>
      <c r="F31" s="341"/>
      <c r="G31" s="341"/>
      <c r="H31" s="341"/>
      <c r="I31" s="341"/>
      <c r="J31" s="341"/>
      <c r="K31" s="341"/>
      <c r="L31" s="342"/>
      <c r="M31" s="343"/>
      <c r="N31" s="344">
        <f t="shared" si="12"/>
        <v>0</v>
      </c>
      <c r="O31" s="345"/>
      <c r="P31" s="341"/>
      <c r="Q31" s="341"/>
      <c r="R31" s="341"/>
      <c r="S31" s="341"/>
      <c r="T31" s="341"/>
      <c r="U31" s="341"/>
      <c r="V31" s="346"/>
      <c r="W31" s="346"/>
      <c r="X31" s="346"/>
      <c r="Y31" s="346"/>
      <c r="Z31" s="346"/>
      <c r="AA31" s="347"/>
      <c r="AB31" s="347"/>
      <c r="AC31" s="347"/>
      <c r="AD31" s="347"/>
      <c r="AE31" s="347"/>
      <c r="AF31" s="347"/>
    </row>
    <row r="32" spans="1:32" ht="20.25" customHeight="1">
      <c r="A32" s="140"/>
      <c r="B32" s="339"/>
      <c r="C32" s="340"/>
      <c r="D32" s="337"/>
      <c r="E32" s="337"/>
      <c r="F32" s="341"/>
      <c r="G32" s="341"/>
      <c r="H32" s="341"/>
      <c r="I32" s="341"/>
      <c r="J32" s="341"/>
      <c r="K32" s="341"/>
      <c r="L32" s="342"/>
      <c r="M32" s="343"/>
      <c r="N32" s="344">
        <f t="shared" si="12"/>
        <v>0</v>
      </c>
      <c r="O32" s="345"/>
      <c r="P32" s="341"/>
      <c r="Q32" s="341"/>
      <c r="R32" s="341"/>
      <c r="S32" s="341"/>
      <c r="T32" s="341"/>
      <c r="U32" s="341"/>
      <c r="V32" s="346"/>
      <c r="W32" s="346"/>
      <c r="X32" s="346"/>
      <c r="Y32" s="346"/>
      <c r="Z32" s="346"/>
      <c r="AA32" s="347"/>
      <c r="AB32" s="347"/>
      <c r="AC32" s="347"/>
      <c r="AD32" s="347"/>
      <c r="AE32" s="347"/>
      <c r="AF32" s="347"/>
    </row>
    <row r="33" spans="1:32" ht="20.25" customHeight="1">
      <c r="A33" s="140"/>
      <c r="B33" s="339"/>
      <c r="C33" s="340"/>
      <c r="D33" s="337"/>
      <c r="E33" s="337"/>
      <c r="F33" s="341"/>
      <c r="G33" s="341"/>
      <c r="H33" s="341"/>
      <c r="I33" s="341"/>
      <c r="J33" s="341"/>
      <c r="K33" s="341"/>
      <c r="L33" s="342"/>
      <c r="M33" s="343"/>
      <c r="N33" s="344">
        <f t="shared" si="12"/>
        <v>0</v>
      </c>
      <c r="O33" s="345"/>
      <c r="P33" s="341"/>
      <c r="Q33" s="341"/>
      <c r="R33" s="341"/>
      <c r="S33" s="341"/>
      <c r="T33" s="341"/>
      <c r="U33" s="341"/>
      <c r="V33" s="346"/>
      <c r="W33" s="346"/>
      <c r="X33" s="346"/>
      <c r="Y33" s="346"/>
      <c r="Z33" s="346"/>
      <c r="AA33" s="347"/>
      <c r="AB33" s="347"/>
      <c r="AC33" s="347"/>
      <c r="AD33" s="347"/>
      <c r="AE33" s="347"/>
      <c r="AF33" s="347"/>
    </row>
    <row r="34" spans="1:32" ht="20.25" customHeight="1">
      <c r="A34" s="140"/>
      <c r="B34" s="339"/>
      <c r="C34" s="340"/>
      <c r="D34" s="337"/>
      <c r="E34" s="337"/>
      <c r="F34" s="341"/>
      <c r="G34" s="341"/>
      <c r="H34" s="341"/>
      <c r="I34" s="341"/>
      <c r="J34" s="341"/>
      <c r="K34" s="341"/>
      <c r="L34" s="342"/>
      <c r="M34" s="343"/>
      <c r="N34" s="344">
        <f t="shared" si="12"/>
        <v>0</v>
      </c>
      <c r="O34" s="345"/>
      <c r="P34" s="341"/>
      <c r="Q34" s="341"/>
      <c r="R34" s="341"/>
      <c r="S34" s="341"/>
      <c r="T34" s="341"/>
      <c r="U34" s="341"/>
      <c r="V34" s="346"/>
      <c r="W34" s="346"/>
      <c r="X34" s="346"/>
      <c r="Y34" s="346"/>
      <c r="Z34" s="346"/>
      <c r="AA34" s="347"/>
      <c r="AB34" s="347"/>
      <c r="AC34" s="347"/>
      <c r="AD34" s="347"/>
      <c r="AE34" s="347"/>
      <c r="AF34" s="347"/>
    </row>
    <row r="35" spans="1:32" ht="20.25" customHeight="1">
      <c r="A35" s="376" t="s">
        <v>141</v>
      </c>
      <c r="B35" s="377"/>
      <c r="C35" s="377"/>
      <c r="D35" s="377"/>
      <c r="E35" s="378"/>
      <c r="F35" s="350">
        <f>SUM(F28:F34)</f>
        <v>0</v>
      </c>
      <c r="G35" s="350"/>
      <c r="H35" s="350">
        <f>SUM(H28:H34)</f>
        <v>0</v>
      </c>
      <c r="I35" s="350"/>
      <c r="J35" s="350">
        <f>SUM(J28:J34)</f>
        <v>0</v>
      </c>
      <c r="K35" s="350"/>
      <c r="L35" s="350">
        <f>SUM(L28:L34)</f>
        <v>0</v>
      </c>
      <c r="M35" s="350"/>
      <c r="N35" s="350">
        <f>SUM(N28:N34)</f>
        <v>0</v>
      </c>
      <c r="O35" s="350"/>
      <c r="P35" s="350">
        <f>SUM(P28:P34)</f>
        <v>0</v>
      </c>
      <c r="Q35" s="350"/>
      <c r="R35" s="350">
        <f>SUM(R28:R34)</f>
        <v>0</v>
      </c>
      <c r="S35" s="350"/>
      <c r="T35" s="350">
        <f>SUM(T28:T34)</f>
        <v>0</v>
      </c>
      <c r="U35" s="350"/>
      <c r="V35" s="375"/>
      <c r="W35" s="375"/>
      <c r="X35" s="375"/>
      <c r="Y35" s="375"/>
      <c r="Z35" s="375"/>
      <c r="AA35" s="351"/>
      <c r="AB35" s="351"/>
      <c r="AC35" s="351"/>
      <c r="AD35" s="351"/>
      <c r="AE35" s="351"/>
      <c r="AF35" s="351"/>
    </row>
    <row r="36" spans="1:32" ht="20.25" customHeight="1">
      <c r="A36" s="12"/>
      <c r="B36" s="1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32" ht="20.25" customHeight="1">
      <c r="A37" s="12"/>
      <c r="B37" s="12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32" ht="20.25" customHeight="1">
      <c r="A38" s="12"/>
      <c r="B38" s="12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32" ht="15" customHeight="1">
      <c r="A39" s="12"/>
      <c r="B39" s="267" t="s">
        <v>437</v>
      </c>
      <c r="C39" s="267"/>
      <c r="D39" s="267"/>
      <c r="E39" s="267"/>
      <c r="F39" s="267"/>
      <c r="G39" s="267"/>
      <c r="H39" s="13"/>
      <c r="I39" s="13"/>
      <c r="J39" s="369" t="s">
        <v>375</v>
      </c>
      <c r="K39" s="369"/>
      <c r="L39" s="369"/>
      <c r="M39" s="369"/>
      <c r="N39" s="369"/>
      <c r="O39" s="13"/>
      <c r="P39" s="13"/>
      <c r="Q39" s="13"/>
      <c r="R39" s="13"/>
      <c r="S39" s="13"/>
      <c r="T39" s="253" t="s">
        <v>375</v>
      </c>
      <c r="U39" s="253"/>
      <c r="V39" s="253"/>
      <c r="W39" s="253"/>
      <c r="X39" s="253"/>
    </row>
    <row r="40" spans="1:32" s="4" customFormat="1">
      <c r="A40" s="187"/>
      <c r="B40" s="293"/>
      <c r="C40" s="293"/>
      <c r="D40" s="293"/>
      <c r="E40" s="293"/>
      <c r="F40" s="293"/>
      <c r="G40" s="293"/>
      <c r="H40" s="191"/>
      <c r="I40" s="191"/>
      <c r="J40" s="293" t="s">
        <v>123</v>
      </c>
      <c r="K40" s="293"/>
      <c r="L40" s="293"/>
      <c r="M40" s="293"/>
      <c r="N40" s="293"/>
      <c r="O40" s="187"/>
      <c r="P40" s="187"/>
      <c r="Q40" s="187"/>
      <c r="R40" s="187"/>
      <c r="S40" s="2"/>
      <c r="T40" s="293" t="s">
        <v>431</v>
      </c>
      <c r="U40" s="293"/>
      <c r="V40" s="293"/>
      <c r="W40" s="293"/>
      <c r="X40" s="293"/>
      <c r="Y40" s="187"/>
      <c r="Z40" s="187"/>
      <c r="AA40" s="187"/>
      <c r="AB40" s="187"/>
      <c r="AC40" s="187"/>
      <c r="AD40" s="187"/>
      <c r="AE40" s="187"/>
      <c r="AF40" s="187"/>
    </row>
    <row r="41" spans="1:32" s="20" customFormat="1" ht="16.5" customHeight="1">
      <c r="C41" s="49"/>
      <c r="D41" s="41"/>
      <c r="E41" s="41"/>
      <c r="F41" s="40"/>
      <c r="G41" s="40"/>
      <c r="H41" s="40"/>
      <c r="I41" s="40"/>
      <c r="J41" s="40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32" s="4" customFormat="1">
      <c r="A42" s="187"/>
      <c r="B42" s="187"/>
      <c r="C42" s="187"/>
      <c r="D42" s="187"/>
      <c r="E42" s="187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7"/>
      <c r="Z42" s="187"/>
      <c r="AA42" s="187"/>
      <c r="AB42" s="187"/>
      <c r="AC42" s="187"/>
      <c r="AD42" s="187"/>
      <c r="AE42" s="187"/>
      <c r="AF42" s="187"/>
    </row>
    <row r="43" spans="1:32">
      <c r="C43" s="21"/>
      <c r="D43" s="21"/>
      <c r="E43" s="21"/>
      <c r="F43" s="21"/>
      <c r="G43" s="21"/>
      <c r="H43" s="21"/>
      <c r="I43" s="50"/>
      <c r="J43" s="50"/>
      <c r="K43" s="50"/>
      <c r="L43" s="50"/>
      <c r="M43" s="50"/>
      <c r="N43" s="50"/>
      <c r="O43" s="50"/>
      <c r="P43" s="50"/>
      <c r="Q43" s="50"/>
      <c r="R43" s="21"/>
      <c r="S43" s="21"/>
    </row>
    <row r="44" spans="1:32">
      <c r="C44" s="21"/>
      <c r="D44" s="21"/>
      <c r="E44" s="21"/>
      <c r="F44" s="21"/>
      <c r="G44" s="21"/>
      <c r="H44" s="21"/>
      <c r="I44" s="21"/>
      <c r="J44" s="21"/>
      <c r="K44" s="21"/>
      <c r="L44" s="50"/>
      <c r="M44" s="50"/>
      <c r="N44" s="50"/>
      <c r="O44" s="50"/>
      <c r="P44" s="50"/>
      <c r="Q44" s="50"/>
      <c r="R44" s="50"/>
      <c r="S44" s="50"/>
      <c r="T44" s="210"/>
      <c r="U44" s="210"/>
      <c r="V44" s="210"/>
      <c r="W44" s="210"/>
    </row>
    <row r="45" spans="1:32" ht="19.5" thickBot="1">
      <c r="C45" s="21"/>
      <c r="D45" s="21"/>
      <c r="E45" s="21"/>
      <c r="F45" s="21"/>
      <c r="G45" s="21"/>
      <c r="H45" s="21"/>
      <c r="I45" s="21"/>
      <c r="J45" s="21"/>
      <c r="K45" s="21"/>
      <c r="L45" s="183"/>
      <c r="M45" s="183"/>
      <c r="N45" s="183"/>
      <c r="O45" s="183"/>
      <c r="P45" s="183"/>
      <c r="Q45" s="183"/>
      <c r="R45" s="183"/>
      <c r="S45" s="183"/>
      <c r="T45" s="184"/>
      <c r="U45" s="184"/>
      <c r="V45" s="184"/>
      <c r="W45" s="184"/>
    </row>
    <row r="46" spans="1:32">
      <c r="C46" s="22"/>
    </row>
    <row r="49" spans="3:3" ht="19.5">
      <c r="C49" s="23"/>
    </row>
    <row r="50" spans="3:3" ht="19.5">
      <c r="C50" s="23"/>
    </row>
    <row r="51" spans="3:3" ht="19.5">
      <c r="C51" s="23"/>
    </row>
    <row r="52" spans="3:3" ht="19.5">
      <c r="C52" s="23"/>
    </row>
    <row r="53" spans="3:3" ht="19.5">
      <c r="C53" s="23"/>
    </row>
    <row r="54" spans="3:3" ht="19.5">
      <c r="C54" s="23"/>
    </row>
    <row r="55" spans="3:3" ht="19.5">
      <c r="C55" s="23"/>
    </row>
  </sheetData>
  <mergeCells count="166">
    <mergeCell ref="B9:I9"/>
    <mergeCell ref="B40:G40"/>
    <mergeCell ref="T40:X40"/>
    <mergeCell ref="J39:N39"/>
    <mergeCell ref="J40:N40"/>
    <mergeCell ref="B39:G39"/>
    <mergeCell ref="M7:M8"/>
    <mergeCell ref="B14:I14"/>
    <mergeCell ref="A17:I17"/>
    <mergeCell ref="B13:I13"/>
    <mergeCell ref="J7:J8"/>
    <mergeCell ref="K7:K8"/>
    <mergeCell ref="A16:I16"/>
    <mergeCell ref="B10:I10"/>
    <mergeCell ref="B11:I11"/>
    <mergeCell ref="B12:I12"/>
    <mergeCell ref="B15:I15"/>
    <mergeCell ref="O7:O8"/>
    <mergeCell ref="T39:X39"/>
    <mergeCell ref="V35:Z35"/>
    <mergeCell ref="A35:E35"/>
    <mergeCell ref="F35:G35"/>
    <mergeCell ref="H35:I35"/>
    <mergeCell ref="J35:K35"/>
    <mergeCell ref="W5:Y5"/>
    <mergeCell ref="X7:X8"/>
    <mergeCell ref="A6:A8"/>
    <mergeCell ref="Q7:Q8"/>
    <mergeCell ref="R7:R8"/>
    <mergeCell ref="Z6:AC6"/>
    <mergeCell ref="AA7:AA8"/>
    <mergeCell ref="AB7:AB8"/>
    <mergeCell ref="J6:M6"/>
    <mergeCell ref="AC7:AC8"/>
    <mergeCell ref="L7:L8"/>
    <mergeCell ref="S7:S8"/>
    <mergeCell ref="B6:I8"/>
    <mergeCell ref="AA5:AC5"/>
    <mergeCell ref="R6:U6"/>
    <mergeCell ref="P7:P8"/>
    <mergeCell ref="T7:T8"/>
    <mergeCell ref="U7:U8"/>
    <mergeCell ref="AA35:AF35"/>
    <mergeCell ref="N6:Q6"/>
    <mergeCell ref="V6:Y6"/>
    <mergeCell ref="V7:V8"/>
    <mergeCell ref="W7:W8"/>
    <mergeCell ref="N7:N8"/>
    <mergeCell ref="Y7:Y8"/>
    <mergeCell ref="Z7:Z8"/>
    <mergeCell ref="T33:U33"/>
    <mergeCell ref="V33:Z33"/>
    <mergeCell ref="AA33:AF33"/>
    <mergeCell ref="T34:U34"/>
    <mergeCell ref="V34:Z34"/>
    <mergeCell ref="AA34:AF34"/>
    <mergeCell ref="T31:U31"/>
    <mergeCell ref="V31:Z31"/>
    <mergeCell ref="AA31:AF31"/>
    <mergeCell ref="T32:U32"/>
    <mergeCell ref="V32:Z32"/>
    <mergeCell ref="AA32:AF32"/>
    <mergeCell ref="T29:U29"/>
    <mergeCell ref="V29:Z29"/>
    <mergeCell ref="AA29:AF29"/>
    <mergeCell ref="T30:U30"/>
    <mergeCell ref="L35:M35"/>
    <mergeCell ref="N35:O35"/>
    <mergeCell ref="P35:Q35"/>
    <mergeCell ref="R35:S35"/>
    <mergeCell ref="T35:U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V30:Z30"/>
    <mergeCell ref="AA30:AF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27:U27"/>
    <mergeCell ref="V27:Z27"/>
    <mergeCell ref="AA27:AF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Z28"/>
    <mergeCell ref="AA28:AF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A24:A26"/>
    <mergeCell ref="B24:C26"/>
    <mergeCell ref="D24:E26"/>
    <mergeCell ref="F24:G26"/>
    <mergeCell ref="H24:I26"/>
    <mergeCell ref="J24:K26"/>
    <mergeCell ref="L24:U24"/>
    <mergeCell ref="V24:Z26"/>
    <mergeCell ref="AA24:AF26"/>
    <mergeCell ref="L25:M26"/>
    <mergeCell ref="N25:O26"/>
    <mergeCell ref="P25:U25"/>
    <mergeCell ref="P26:Q26"/>
    <mergeCell ref="R26:S26"/>
    <mergeCell ref="T26:U26"/>
  </mergeCells>
  <phoneticPr fontId="3" type="noConversion"/>
  <pageMargins left="0.78740157480314965" right="7.874015748031496E-2" top="0.78740157480314965" bottom="0.78740157480314965" header="0.31496062992125984" footer="0.31496062992125984"/>
  <pageSetup paperSize="9" scale="31" orientation="landscape" r:id="rId1"/>
  <headerFooter alignWithMargins="0">
    <oddHeader>&amp;R&amp;"Times New Roman,звичайний"&amp;14Продовження додатка 3
Таблиця 6</oddHeader>
  </headerFooter>
  <ignoredErrors>
    <ignoredError sqref="AB17:AC17 J16" formulaRange="1"/>
    <ignoredError sqref="X17:Y17 L17 J17 M17:N17 P17:R17 T17:V17" evalError="1" formulaRange="1"/>
    <ignoredError sqref="Z17:AA17 M15 K17 O17 S17 W17 M11:M12 U10 Q11:Q12 U11:U12 M10 U15 Q10 Q15 Y11:Y12 Y10 Y15" evalError="1"/>
    <ignoredError sqref="Z16:AA16 M16:N16 V16:W16 R16:S16" evalError="1" formula="1" formulaRange="1"/>
    <ignoredError sqref="Q16 U16 Y16" evalError="1" formula="1"/>
    <ignoredError sqref="T16 X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  <vt:lpstr>'VI-VII джер.кап.інв.'!Область_печати</vt:lpstr>
      <vt:lpstr>'Осн. фін. пок.'!Область_печати</vt:lpstr>
    </vt:vector>
  </TitlesOfParts>
  <Company>ME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Пользователь</cp:lastModifiedBy>
  <cp:revision/>
  <cp:lastPrinted>2025-07-23T08:40:39Z</cp:lastPrinted>
  <dcterms:created xsi:type="dcterms:W3CDTF">2003-03-13T16:00:22Z</dcterms:created>
  <dcterms:modified xsi:type="dcterms:W3CDTF">2025-07-23T12:06:10Z</dcterms:modified>
</cp:coreProperties>
</file>