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 tabRatio="794" activeTab="1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'І. Інф. до звіт.'!$A$1:$N$117</definedName>
    <definedName name="_xlnm.Print_Area" localSheetId="0">'Осн. фін. пок.'!$A$1:$H$129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2" l="1"/>
  <c r="H69" i="2"/>
  <c r="G68" i="2"/>
  <c r="G69" i="2"/>
  <c r="F66" i="2" l="1"/>
  <c r="G70" i="2"/>
  <c r="H70" i="2"/>
  <c r="G71" i="2"/>
  <c r="H71" i="2"/>
  <c r="G72" i="2"/>
  <c r="H72" i="2"/>
  <c r="G73" i="2"/>
  <c r="H73" i="2"/>
  <c r="D66" i="2"/>
  <c r="E66" i="2"/>
  <c r="F7" i="18" l="1"/>
  <c r="E124" i="14" l="1"/>
  <c r="E123" i="14"/>
  <c r="E116" i="14"/>
  <c r="E91" i="14"/>
  <c r="C116" i="14"/>
  <c r="F124" i="14"/>
  <c r="F123" i="14"/>
  <c r="F116" i="14" l="1"/>
  <c r="N9" i="3" l="1"/>
  <c r="N8" i="3"/>
  <c r="J9" i="3"/>
  <c r="J8" i="3"/>
  <c r="X11" i="9"/>
  <c r="X12" i="9"/>
  <c r="F59" i="18" l="1"/>
  <c r="F53" i="18"/>
  <c r="F50" i="18" s="1"/>
  <c r="F42" i="18"/>
  <c r="F60" i="18" s="1"/>
  <c r="F39" i="18"/>
  <c r="F37" i="18"/>
  <c r="F34" i="18"/>
  <c r="F28" i="18" s="1"/>
  <c r="F33" i="18"/>
  <c r="F30" i="18"/>
  <c r="F23" i="18"/>
  <c r="F22" i="18"/>
  <c r="F19" i="18"/>
  <c r="F15" i="18"/>
  <c r="F42" i="19"/>
  <c r="F41" i="19"/>
  <c r="D41" i="19"/>
  <c r="D42" i="19"/>
  <c r="F34" i="19"/>
  <c r="F33" i="19"/>
  <c r="F30" i="19"/>
  <c r="F25" i="19"/>
  <c r="F115" i="14"/>
  <c r="F114" i="14"/>
  <c r="F113" i="14"/>
  <c r="F23" i="2"/>
  <c r="F88" i="2"/>
  <c r="F80" i="2"/>
  <c r="F57" i="2"/>
  <c r="F56" i="2"/>
  <c r="F55" i="2"/>
  <c r="F45" i="2"/>
  <c r="F44" i="2"/>
  <c r="F43" i="2"/>
  <c r="F42" i="2"/>
  <c r="F41" i="2"/>
  <c r="F36" i="2"/>
  <c r="F33" i="2"/>
  <c r="F31" i="2"/>
  <c r="F29" i="2"/>
  <c r="F28" i="2"/>
  <c r="F27" i="2"/>
  <c r="F26" i="2"/>
  <c r="F25" i="2"/>
  <c r="C88" i="14" l="1"/>
  <c r="D39" i="18"/>
  <c r="D23" i="18"/>
  <c r="D22" i="18"/>
  <c r="D19" i="18"/>
  <c r="C124" i="14"/>
  <c r="C123" i="14"/>
  <c r="D115" i="14" l="1"/>
  <c r="D124" i="14" s="1"/>
  <c r="D123" i="14"/>
  <c r="D114" i="14"/>
  <c r="D113" i="14"/>
  <c r="F107" i="2" l="1"/>
  <c r="D88" i="2"/>
  <c r="D23" i="2"/>
  <c r="D80" i="2"/>
  <c r="D57" i="2"/>
  <c r="D25" i="2"/>
  <c r="D33" i="2" l="1"/>
  <c r="D59" i="18" l="1"/>
  <c r="T12" i="9"/>
  <c r="D34" i="18"/>
  <c r="D29" i="2" l="1"/>
  <c r="D30" i="18"/>
  <c r="D33" i="18"/>
  <c r="D25" i="19"/>
  <c r="D34" i="19"/>
  <c r="D33" i="19"/>
  <c r="D30" i="19"/>
  <c r="D45" i="2"/>
  <c r="D31" i="2"/>
  <c r="D27" i="2"/>
  <c r="D44" i="2"/>
  <c r="D43" i="2"/>
  <c r="D28" i="2"/>
  <c r="C28" i="18"/>
  <c r="E28" i="18" l="1"/>
  <c r="E20" i="18" s="1"/>
  <c r="E7" i="18"/>
  <c r="D81" i="14"/>
  <c r="G80" i="2" l="1"/>
  <c r="F110" i="14" l="1"/>
  <c r="D7" i="18" l="1"/>
  <c r="D53" i="18"/>
  <c r="D111" i="2"/>
  <c r="F111" i="2"/>
  <c r="F108" i="2"/>
  <c r="F109" i="2"/>
  <c r="F110" i="2"/>
  <c r="D55" i="2"/>
  <c r="D42" i="2"/>
  <c r="D26" i="2"/>
  <c r="D41" i="2"/>
  <c r="D88" i="14" l="1"/>
  <c r="E88" i="14"/>
  <c r="C91" i="14"/>
  <c r="C81" i="14"/>
  <c r="C23" i="19"/>
  <c r="C107" i="2"/>
  <c r="C108" i="2"/>
  <c r="C109" i="2"/>
  <c r="C110" i="2"/>
  <c r="C111" i="2"/>
  <c r="D107" i="2"/>
  <c r="D108" i="2"/>
  <c r="D109" i="2"/>
  <c r="D110" i="2"/>
  <c r="D91" i="14" l="1"/>
  <c r="E111" i="2"/>
  <c r="E110" i="2"/>
  <c r="E109" i="2"/>
  <c r="E108" i="2"/>
  <c r="D37" i="18"/>
  <c r="D56" i="2"/>
  <c r="D36" i="2"/>
  <c r="D35" i="2" s="1"/>
  <c r="E112" i="2" l="1"/>
  <c r="C110" i="14"/>
  <c r="D110" i="14"/>
  <c r="E110" i="14"/>
  <c r="D24" i="2"/>
  <c r="E24" i="2"/>
  <c r="F24" i="2"/>
  <c r="F34" i="2" s="1"/>
  <c r="C66" i="14"/>
  <c r="D66" i="14"/>
  <c r="C65" i="14"/>
  <c r="D65" i="14"/>
  <c r="C64" i="14"/>
  <c r="D64" i="14"/>
  <c r="C62" i="14"/>
  <c r="D62" i="14"/>
  <c r="C61" i="14"/>
  <c r="D61" i="14"/>
  <c r="C58" i="14"/>
  <c r="D58" i="14"/>
  <c r="E66" i="14"/>
  <c r="E65" i="14"/>
  <c r="E64" i="14"/>
  <c r="E62" i="14"/>
  <c r="E61" i="14"/>
  <c r="E58" i="14"/>
  <c r="D37" i="19"/>
  <c r="E37" i="19"/>
  <c r="F37" i="19"/>
  <c r="C37" i="19"/>
  <c r="G85" i="14"/>
  <c r="H85" i="14"/>
  <c r="G86" i="14"/>
  <c r="H86" i="14"/>
  <c r="G87" i="14"/>
  <c r="H87" i="14"/>
  <c r="G88" i="14"/>
  <c r="H88" i="14"/>
  <c r="D98" i="14"/>
  <c r="C98" i="14"/>
  <c r="C53" i="18"/>
  <c r="C50" i="18"/>
  <c r="D50" i="18"/>
  <c r="E53" i="18"/>
  <c r="C15" i="18"/>
  <c r="C7" i="18"/>
  <c r="D15" i="18"/>
  <c r="E15" i="18"/>
  <c r="H124" i="14"/>
  <c r="H123" i="14"/>
  <c r="C118" i="14"/>
  <c r="D118" i="14"/>
  <c r="E118" i="14"/>
  <c r="F118" i="14"/>
  <c r="C117" i="14"/>
  <c r="D117" i="14"/>
  <c r="F117" i="14"/>
  <c r="E101" i="14"/>
  <c r="E100" i="14"/>
  <c r="E99" i="14"/>
  <c r="E98" i="14"/>
  <c r="E97" i="14"/>
  <c r="E96" i="14"/>
  <c r="E95" i="14"/>
  <c r="F101" i="14"/>
  <c r="G101" i="14" s="1"/>
  <c r="H101" i="14"/>
  <c r="F100" i="14"/>
  <c r="G100" i="14"/>
  <c r="F99" i="14"/>
  <c r="H99" i="14"/>
  <c r="F97" i="14"/>
  <c r="H97" i="14" s="1"/>
  <c r="F96" i="14"/>
  <c r="F95" i="14"/>
  <c r="H95" i="14"/>
  <c r="AA11" i="9"/>
  <c r="AA12" i="9"/>
  <c r="AA13" i="9"/>
  <c r="AA14" i="9"/>
  <c r="AA15" i="9"/>
  <c r="Z11" i="9"/>
  <c r="Z12" i="9"/>
  <c r="Z13" i="9"/>
  <c r="Z14" i="9"/>
  <c r="AC14" i="9" s="1"/>
  <c r="Z15" i="9"/>
  <c r="AC15" i="9" s="1"/>
  <c r="D43" i="19"/>
  <c r="E43" i="19"/>
  <c r="F43" i="19"/>
  <c r="D32" i="19"/>
  <c r="E32" i="19"/>
  <c r="F32" i="19"/>
  <c r="D23" i="19"/>
  <c r="E23" i="19"/>
  <c r="F23" i="19"/>
  <c r="F74" i="2"/>
  <c r="E74" i="2"/>
  <c r="D74" i="2"/>
  <c r="D58" i="2"/>
  <c r="E58" i="2"/>
  <c r="F58" i="2"/>
  <c r="E35" i="2"/>
  <c r="F35" i="2"/>
  <c r="D35" i="14"/>
  <c r="D119" i="14"/>
  <c r="E119" i="14"/>
  <c r="F119" i="14"/>
  <c r="C119" i="14"/>
  <c r="D104" i="14"/>
  <c r="E104" i="14"/>
  <c r="F104" i="14"/>
  <c r="D44" i="14"/>
  <c r="E44" i="14"/>
  <c r="H44" i="14" s="1"/>
  <c r="F44" i="14"/>
  <c r="C44" i="14"/>
  <c r="D43" i="14"/>
  <c r="E43" i="14"/>
  <c r="F43" i="14"/>
  <c r="C43" i="14"/>
  <c r="D42" i="14"/>
  <c r="E42" i="14"/>
  <c r="F42" i="14"/>
  <c r="C42" i="14"/>
  <c r="D41" i="14"/>
  <c r="E41" i="14"/>
  <c r="F41" i="14"/>
  <c r="C41" i="14"/>
  <c r="D40" i="14"/>
  <c r="E40" i="14"/>
  <c r="F40" i="14"/>
  <c r="G40" i="14" s="1"/>
  <c r="C40" i="14"/>
  <c r="D34" i="14"/>
  <c r="E34" i="14"/>
  <c r="F34" i="14"/>
  <c r="C34" i="14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 s="1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89" i="2"/>
  <c r="E89" i="2"/>
  <c r="F89" i="2"/>
  <c r="D86" i="2"/>
  <c r="E86" i="2"/>
  <c r="F86" i="2"/>
  <c r="L15" i="2"/>
  <c r="M15" i="2"/>
  <c r="N15" i="2"/>
  <c r="G73" i="14"/>
  <c r="H73" i="14"/>
  <c r="G74" i="14"/>
  <c r="H74" i="14"/>
  <c r="G75" i="14"/>
  <c r="H75" i="14"/>
  <c r="G76" i="14"/>
  <c r="H76" i="14"/>
  <c r="G77" i="14"/>
  <c r="H77" i="14"/>
  <c r="G78" i="14"/>
  <c r="H78" i="14"/>
  <c r="G79" i="14"/>
  <c r="H79" i="14"/>
  <c r="G80" i="14"/>
  <c r="H80" i="14"/>
  <c r="G81" i="14"/>
  <c r="H81" i="14"/>
  <c r="G82" i="14"/>
  <c r="H82" i="14"/>
  <c r="G83" i="14"/>
  <c r="H83" i="14"/>
  <c r="G89" i="14"/>
  <c r="H89" i="14"/>
  <c r="G90" i="14"/>
  <c r="H90" i="14"/>
  <c r="G91" i="14"/>
  <c r="H91" i="14"/>
  <c r="H71" i="14"/>
  <c r="G71" i="14"/>
  <c r="H57" i="18"/>
  <c r="G57" i="18"/>
  <c r="E50" i="18"/>
  <c r="E60" i="18" s="1"/>
  <c r="G12" i="18"/>
  <c r="H12" i="18"/>
  <c r="G13" i="18"/>
  <c r="H13" i="18"/>
  <c r="H31" i="2"/>
  <c r="G31" i="2"/>
  <c r="C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18" i="14"/>
  <c r="G108" i="14"/>
  <c r="G106" i="14"/>
  <c r="G107" i="14"/>
  <c r="G105" i="14"/>
  <c r="G104" i="2"/>
  <c r="H104" i="2"/>
  <c r="G107" i="2"/>
  <c r="H107" i="2"/>
  <c r="G108" i="2"/>
  <c r="H108" i="2"/>
  <c r="G109" i="2"/>
  <c r="H109" i="2"/>
  <c r="G110" i="2"/>
  <c r="H110" i="2"/>
  <c r="G111" i="2"/>
  <c r="H111" i="2"/>
  <c r="G25" i="2"/>
  <c r="H25" i="2"/>
  <c r="G26" i="2"/>
  <c r="H26" i="2"/>
  <c r="G27" i="2"/>
  <c r="H27" i="2"/>
  <c r="G28" i="2"/>
  <c r="H28" i="2"/>
  <c r="G29" i="2"/>
  <c r="H29" i="2"/>
  <c r="G30" i="2"/>
  <c r="H30" i="2"/>
  <c r="G32" i="2"/>
  <c r="H32" i="2"/>
  <c r="G33" i="2"/>
  <c r="H33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7" i="2"/>
  <c r="H67" i="2"/>
  <c r="G75" i="2"/>
  <c r="H75" i="2"/>
  <c r="G76" i="2"/>
  <c r="H76" i="2"/>
  <c r="G77" i="2"/>
  <c r="H77" i="2"/>
  <c r="G78" i="2"/>
  <c r="H78" i="2"/>
  <c r="G79" i="2"/>
  <c r="H79" i="2"/>
  <c r="H80" i="2"/>
  <c r="G82" i="2"/>
  <c r="H82" i="2"/>
  <c r="G83" i="2"/>
  <c r="H83" i="2"/>
  <c r="G84" i="2"/>
  <c r="H84" i="2"/>
  <c r="G85" i="2"/>
  <c r="H85" i="2"/>
  <c r="G87" i="2"/>
  <c r="H87" i="2"/>
  <c r="G88" i="2"/>
  <c r="H88" i="2"/>
  <c r="G90" i="2"/>
  <c r="H90" i="2"/>
  <c r="G91" i="2"/>
  <c r="H91" i="2"/>
  <c r="G93" i="2"/>
  <c r="H93" i="2"/>
  <c r="G94" i="2"/>
  <c r="H94" i="2"/>
  <c r="G95" i="2"/>
  <c r="H95" i="2"/>
  <c r="G96" i="2"/>
  <c r="H96" i="2"/>
  <c r="G98" i="2"/>
  <c r="H98" i="2"/>
  <c r="G99" i="2"/>
  <c r="H99" i="2"/>
  <c r="G102" i="2"/>
  <c r="H102" i="2"/>
  <c r="F16" i="2"/>
  <c r="C16" i="2"/>
  <c r="K15" i="2"/>
  <c r="J15" i="2"/>
  <c r="I15" i="2"/>
  <c r="N14" i="2"/>
  <c r="M14" i="2"/>
  <c r="L14" i="2"/>
  <c r="K14" i="2"/>
  <c r="J14" i="2"/>
  <c r="I14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C10" i="9" s="1"/>
  <c r="L11" i="9"/>
  <c r="M11" i="9"/>
  <c r="P11" i="9"/>
  <c r="Q11" i="9"/>
  <c r="T11" i="9"/>
  <c r="U11" i="9"/>
  <c r="Y11" i="9"/>
  <c r="L12" i="9"/>
  <c r="M12" i="9"/>
  <c r="P12" i="9"/>
  <c r="Q12" i="9"/>
  <c r="U12" i="9"/>
  <c r="Y12" i="9"/>
  <c r="L15" i="9"/>
  <c r="M15" i="9"/>
  <c r="P15" i="9"/>
  <c r="Q15" i="9"/>
  <c r="T15" i="9"/>
  <c r="U15" i="9"/>
  <c r="X15" i="9"/>
  <c r="Y15" i="9"/>
  <c r="J16" i="9"/>
  <c r="K16" i="9"/>
  <c r="M16" i="9"/>
  <c r="N16" i="9"/>
  <c r="O16" i="9"/>
  <c r="R16" i="9"/>
  <c r="S16" i="9"/>
  <c r="V16" i="9"/>
  <c r="W16" i="9"/>
  <c r="Y16" i="9" s="1"/>
  <c r="H6" i="3"/>
  <c r="C47" i="14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Q29" i="3"/>
  <c r="B30" i="3"/>
  <c r="R30" i="3"/>
  <c r="S30" i="3"/>
  <c r="Q30" i="3"/>
  <c r="B31" i="3"/>
  <c r="R31" i="3"/>
  <c r="S31" i="3"/>
  <c r="Q31" i="3"/>
  <c r="B32" i="3"/>
  <c r="R32" i="3"/>
  <c r="S32" i="3"/>
  <c r="B33" i="3"/>
  <c r="R33" i="3"/>
  <c r="S33" i="3"/>
  <c r="Q33" i="3"/>
  <c r="B34" i="3"/>
  <c r="R34" i="3"/>
  <c r="S34" i="3"/>
  <c r="Q34" i="3"/>
  <c r="B35" i="3"/>
  <c r="R35" i="3"/>
  <c r="R38" i="3" s="1"/>
  <c r="F102" i="14" s="1"/>
  <c r="H102" i="14" s="1"/>
  <c r="S35" i="3"/>
  <c r="Q35" i="3"/>
  <c r="B36" i="3"/>
  <c r="R36" i="3"/>
  <c r="S36" i="3"/>
  <c r="Q36" i="3"/>
  <c r="B37" i="3"/>
  <c r="R37" i="3"/>
  <c r="S37" i="3"/>
  <c r="Q37" i="3"/>
  <c r="C38" i="3"/>
  <c r="F93" i="14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C24" i="18"/>
  <c r="D24" i="18"/>
  <c r="E24" i="18"/>
  <c r="F24" i="18"/>
  <c r="H24" i="18" s="1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C20" i="18"/>
  <c r="C40" i="18" s="1"/>
  <c r="D28" i="18"/>
  <c r="D20" i="18" s="1"/>
  <c r="G34" i="18"/>
  <c r="G35" i="18"/>
  <c r="H35" i="18"/>
  <c r="G36" i="18"/>
  <c r="H36" i="18"/>
  <c r="G37" i="18"/>
  <c r="H37" i="18"/>
  <c r="G38" i="18"/>
  <c r="H38" i="18"/>
  <c r="G39" i="18"/>
  <c r="H39" i="18"/>
  <c r="C42" i="18"/>
  <c r="C60" i="18" s="1"/>
  <c r="D42" i="18"/>
  <c r="E42" i="18"/>
  <c r="G42" i="18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 s="1"/>
  <c r="C79" i="18" s="1"/>
  <c r="D64" i="18"/>
  <c r="D62" i="18" s="1"/>
  <c r="E64" i="18"/>
  <c r="E62" i="18" s="1"/>
  <c r="E79" i="18" s="1"/>
  <c r="F64" i="18"/>
  <c r="F62" i="18" s="1"/>
  <c r="G65" i="18"/>
  <c r="H65" i="18"/>
  <c r="G66" i="18"/>
  <c r="H66" i="18"/>
  <c r="G67" i="18"/>
  <c r="H67" i="18"/>
  <c r="G68" i="18"/>
  <c r="H68" i="18"/>
  <c r="G70" i="18"/>
  <c r="H70" i="18"/>
  <c r="C71" i="18"/>
  <c r="C69" i="18"/>
  <c r="D71" i="18"/>
  <c r="D69" i="18"/>
  <c r="E71" i="18"/>
  <c r="E69" i="18"/>
  <c r="F71" i="18"/>
  <c r="F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D10" i="19"/>
  <c r="E10" i="19"/>
  <c r="F10" i="19"/>
  <c r="C11" i="19"/>
  <c r="D11" i="19"/>
  <c r="E11" i="19"/>
  <c r="F11" i="19"/>
  <c r="H11" i="19"/>
  <c r="G12" i="19"/>
  <c r="H12" i="19"/>
  <c r="G13" i="19"/>
  <c r="H13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G24" i="19"/>
  <c r="H24" i="19"/>
  <c r="G25" i="19"/>
  <c r="H25" i="19"/>
  <c r="G26" i="19"/>
  <c r="H26" i="19"/>
  <c r="G27" i="19"/>
  <c r="H27" i="19"/>
  <c r="G38" i="19"/>
  <c r="H38" i="19"/>
  <c r="G28" i="19"/>
  <c r="H28" i="19"/>
  <c r="G29" i="19"/>
  <c r="H29" i="19"/>
  <c r="G30" i="19"/>
  <c r="H30" i="19"/>
  <c r="G31" i="19"/>
  <c r="H31" i="19"/>
  <c r="C32" i="19"/>
  <c r="G33" i="19"/>
  <c r="H33" i="19"/>
  <c r="G34" i="19"/>
  <c r="H34" i="19"/>
  <c r="G35" i="19"/>
  <c r="H35" i="19"/>
  <c r="G36" i="19"/>
  <c r="H36" i="19"/>
  <c r="G39" i="19"/>
  <c r="H39" i="19"/>
  <c r="G40" i="19"/>
  <c r="H40" i="19"/>
  <c r="G41" i="19"/>
  <c r="H41" i="19"/>
  <c r="G42" i="19"/>
  <c r="H42" i="19"/>
  <c r="C43" i="19"/>
  <c r="H43" i="19"/>
  <c r="G44" i="19"/>
  <c r="H44" i="19"/>
  <c r="G45" i="19"/>
  <c r="H45" i="19"/>
  <c r="G23" i="2"/>
  <c r="H23" i="2"/>
  <c r="C24" i="2"/>
  <c r="C35" i="14" s="1"/>
  <c r="C36" i="14" s="1"/>
  <c r="C58" i="2"/>
  <c r="C66" i="2"/>
  <c r="C74" i="2"/>
  <c r="C86" i="2"/>
  <c r="C89" i="2"/>
  <c r="C72" i="14"/>
  <c r="D72" i="14"/>
  <c r="E72" i="14"/>
  <c r="H84" i="14"/>
  <c r="G84" i="14"/>
  <c r="C94" i="14"/>
  <c r="D94" i="14"/>
  <c r="H105" i="14"/>
  <c r="C104" i="14"/>
  <c r="AB13" i="9"/>
  <c r="G43" i="19"/>
  <c r="AC13" i="9"/>
  <c r="G64" i="18"/>
  <c r="H34" i="18"/>
  <c r="B38" i="3"/>
  <c r="AB15" i="9"/>
  <c r="AC12" i="9"/>
  <c r="H42" i="18"/>
  <c r="Q32" i="3"/>
  <c r="AB10" i="9"/>
  <c r="H117" i="14"/>
  <c r="G96" i="14"/>
  <c r="H118" i="14"/>
  <c r="G124" i="14"/>
  <c r="G117" i="14"/>
  <c r="H42" i="14"/>
  <c r="G42" i="14"/>
  <c r="H96" i="14"/>
  <c r="G41" i="14"/>
  <c r="H40" i="14"/>
  <c r="G11" i="19"/>
  <c r="Q38" i="3"/>
  <c r="G93" i="14"/>
  <c r="H93" i="14"/>
  <c r="H43" i="14"/>
  <c r="G71" i="18"/>
  <c r="H53" i="18"/>
  <c r="S38" i="3"/>
  <c r="G102" i="14"/>
  <c r="G97" i="14"/>
  <c r="AB14" i="9"/>
  <c r="G53" i="18"/>
  <c r="G44" i="14"/>
  <c r="E94" i="14"/>
  <c r="G99" i="14"/>
  <c r="F98" i="14"/>
  <c r="H100" i="14"/>
  <c r="G98" i="14"/>
  <c r="H98" i="14"/>
  <c r="G74" i="2"/>
  <c r="L16" i="2"/>
  <c r="G89" i="2"/>
  <c r="H89" i="2"/>
  <c r="D34" i="2"/>
  <c r="E34" i="2"/>
  <c r="G86" i="2" l="1"/>
  <c r="G58" i="2"/>
  <c r="G34" i="14"/>
  <c r="H86" i="2"/>
  <c r="D100" i="2"/>
  <c r="H58" i="2"/>
  <c r="D116" i="14"/>
  <c r="I16" i="2"/>
  <c r="R6" i="3"/>
  <c r="P6" i="3"/>
  <c r="G50" i="18"/>
  <c r="H50" i="18"/>
  <c r="H60" i="18"/>
  <c r="U16" i="9"/>
  <c r="Z16" i="9"/>
  <c r="V17" i="9" s="1"/>
  <c r="AB12" i="9"/>
  <c r="Q16" i="9"/>
  <c r="AB11" i="9"/>
  <c r="G24" i="18"/>
  <c r="F20" i="18"/>
  <c r="F40" i="18" s="1"/>
  <c r="F80" i="18" s="1"/>
  <c r="F100" i="2"/>
  <c r="G10" i="19"/>
  <c r="H41" i="14"/>
  <c r="G43" i="14"/>
  <c r="H32" i="19"/>
  <c r="H10" i="19"/>
  <c r="H74" i="2"/>
  <c r="F101" i="2"/>
  <c r="F106" i="2" s="1"/>
  <c r="F105" i="2" s="1"/>
  <c r="D101" i="2"/>
  <c r="D106" i="2" s="1"/>
  <c r="D105" i="2" s="1"/>
  <c r="D112" i="2" s="1"/>
  <c r="G66" i="2"/>
  <c r="AC11" i="9"/>
  <c r="AA16" i="9"/>
  <c r="O17" i="9" s="1"/>
  <c r="F35" i="14"/>
  <c r="F36" i="14" s="1"/>
  <c r="F46" i="19"/>
  <c r="F45" i="14" s="1"/>
  <c r="H23" i="19"/>
  <c r="H24" i="2"/>
  <c r="C100" i="2"/>
  <c r="H47" i="14"/>
  <c r="E46" i="19"/>
  <c r="E45" i="14" s="1"/>
  <c r="H66" i="2"/>
  <c r="E100" i="2"/>
  <c r="H34" i="14"/>
  <c r="D81" i="2"/>
  <c r="F81" i="2"/>
  <c r="F103" i="2" s="1"/>
  <c r="G60" i="18"/>
  <c r="G47" i="14"/>
  <c r="G72" i="14"/>
  <c r="D46" i="19"/>
  <c r="D45" i="14" s="1"/>
  <c r="G23" i="19"/>
  <c r="H119" i="14"/>
  <c r="G119" i="14"/>
  <c r="G123" i="14"/>
  <c r="H110" i="14"/>
  <c r="G110" i="14"/>
  <c r="G116" i="14"/>
  <c r="G24" i="2"/>
  <c r="H116" i="14"/>
  <c r="H104" i="14"/>
  <c r="G104" i="14"/>
  <c r="G28" i="18"/>
  <c r="H37" i="19"/>
  <c r="G37" i="19"/>
  <c r="G32" i="19"/>
  <c r="H72" i="14"/>
  <c r="C80" i="18"/>
  <c r="C83" i="18" s="1"/>
  <c r="C101" i="2"/>
  <c r="C106" i="2" s="1"/>
  <c r="C105" i="2" s="1"/>
  <c r="C112" i="2" s="1"/>
  <c r="C34" i="2"/>
  <c r="C81" i="2" s="1"/>
  <c r="H35" i="2"/>
  <c r="E81" i="2"/>
  <c r="E51" i="14" s="1"/>
  <c r="E101" i="2"/>
  <c r="G35" i="2"/>
  <c r="H34" i="2"/>
  <c r="G34" i="2"/>
  <c r="E35" i="14"/>
  <c r="D60" i="18"/>
  <c r="E40" i="18"/>
  <c r="E80" i="18" s="1"/>
  <c r="E83" i="18" s="1"/>
  <c r="G7" i="18"/>
  <c r="G69" i="18"/>
  <c r="H69" i="18"/>
  <c r="F79" i="18"/>
  <c r="G62" i="18"/>
  <c r="H62" i="18"/>
  <c r="D79" i="18"/>
  <c r="H7" i="18"/>
  <c r="H28" i="18"/>
  <c r="D40" i="18"/>
  <c r="H15" i="18"/>
  <c r="H64" i="18"/>
  <c r="H71" i="18"/>
  <c r="G15" i="18"/>
  <c r="D36" i="14"/>
  <c r="C46" i="19"/>
  <c r="C45" i="14" s="1"/>
  <c r="X16" i="9"/>
  <c r="L16" i="9"/>
  <c r="T16" i="9"/>
  <c r="P16" i="9"/>
  <c r="G95" i="14"/>
  <c r="F94" i="14"/>
  <c r="D92" i="2" l="1"/>
  <c r="D97" i="2" s="1"/>
  <c r="H100" i="2"/>
  <c r="H20" i="18"/>
  <c r="J17" i="9"/>
  <c r="AB16" i="9"/>
  <c r="N17" i="9"/>
  <c r="R17" i="9"/>
  <c r="W17" i="9"/>
  <c r="G20" i="18"/>
  <c r="K17" i="9"/>
  <c r="AC16" i="9"/>
  <c r="S17" i="9"/>
  <c r="G45" i="14"/>
  <c r="F37" i="14"/>
  <c r="H46" i="19"/>
  <c r="G46" i="19"/>
  <c r="H45" i="14"/>
  <c r="G100" i="2"/>
  <c r="E92" i="2"/>
  <c r="E97" i="2" s="1"/>
  <c r="G81" i="2"/>
  <c r="F92" i="2"/>
  <c r="F97" i="2" s="1"/>
  <c r="F38" i="14" s="1"/>
  <c r="F50" i="14" s="1"/>
  <c r="G101" i="2"/>
  <c r="F51" i="14"/>
  <c r="G106" i="2"/>
  <c r="H106" i="2"/>
  <c r="D103" i="2"/>
  <c r="D37" i="14" s="1"/>
  <c r="D53" i="14" s="1"/>
  <c r="D51" i="14"/>
  <c r="C51" i="14"/>
  <c r="C92" i="2"/>
  <c r="C97" i="2" s="1"/>
  <c r="C103" i="2"/>
  <c r="C37" i="14" s="1"/>
  <c r="H81" i="2"/>
  <c r="E103" i="2"/>
  <c r="E37" i="14" s="1"/>
  <c r="H101" i="2"/>
  <c r="G35" i="14"/>
  <c r="E36" i="14"/>
  <c r="H35" i="14"/>
  <c r="G40" i="18"/>
  <c r="H40" i="18"/>
  <c r="H79" i="18"/>
  <c r="G79" i="18"/>
  <c r="D80" i="18"/>
  <c r="D83" i="18" s="1"/>
  <c r="H94" i="14"/>
  <c r="G94" i="14"/>
  <c r="D38" i="14" l="1"/>
  <c r="D7" i="19"/>
  <c r="D21" i="19" s="1"/>
  <c r="Z17" i="9"/>
  <c r="AA17" i="9"/>
  <c r="F59" i="14"/>
  <c r="F53" i="14"/>
  <c r="G37" i="14"/>
  <c r="H92" i="2"/>
  <c r="F7" i="19"/>
  <c r="F21" i="19" s="1"/>
  <c r="G92" i="2"/>
  <c r="F112" i="2"/>
  <c r="H105" i="2"/>
  <c r="G105" i="2"/>
  <c r="D59" i="14"/>
  <c r="D60" i="14"/>
  <c r="C53" i="14"/>
  <c r="C59" i="14"/>
  <c r="C60" i="14"/>
  <c r="C7" i="19"/>
  <c r="C21" i="19" s="1"/>
  <c r="C38" i="14"/>
  <c r="H103" i="2"/>
  <c r="G103" i="2"/>
  <c r="E53" i="14"/>
  <c r="H37" i="14"/>
  <c r="E60" i="14"/>
  <c r="E59" i="14"/>
  <c r="H36" i="14"/>
  <c r="G36" i="14"/>
  <c r="H97" i="2"/>
  <c r="G97" i="2"/>
  <c r="E38" i="14"/>
  <c r="E7" i="19"/>
  <c r="H80" i="18"/>
  <c r="F83" i="18"/>
  <c r="G80" i="18"/>
  <c r="D55" i="14"/>
  <c r="D50" i="14"/>
  <c r="D54" i="14"/>
  <c r="H112" i="2" l="1"/>
  <c r="G112" i="2"/>
  <c r="C54" i="14"/>
  <c r="C55" i="14"/>
  <c r="C50" i="14"/>
  <c r="G7" i="19"/>
  <c r="H7" i="19"/>
  <c r="E21" i="19"/>
  <c r="G38" i="14"/>
  <c r="E55" i="14"/>
  <c r="H38" i="14"/>
  <c r="E54" i="14"/>
  <c r="E50" i="14"/>
  <c r="G83" i="18"/>
  <c r="H83" i="18"/>
  <c r="G21" i="19" l="1"/>
  <c r="H21" i="19"/>
</calcChain>
</file>

<file path=xl/sharedStrings.xml><?xml version="1.0" encoding="utf-8"?>
<sst xmlns="http://schemas.openxmlformats.org/spreadsheetml/2006/main" count="960" uniqueCount="446">
  <si>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</si>
  <si>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</si>
  <si>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</si>
  <si>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</si>
  <si>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</si>
  <si>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</si>
  <si>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</si>
  <si>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</si>
  <si>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</si>
  <si>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</si>
  <si>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</si>
  <si>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</si>
  <si>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</si>
  <si>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</si>
  <si>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</si>
  <si>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</si>
  <si>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</si>
  <si>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</si>
  <si>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</si>
  <si>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</si>
  <si>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</si>
  <si>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</si>
  <si>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</si>
  <si>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</si>
  <si>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</si>
  <si>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</si>
  <si>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</si>
  <si>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</si>
  <si>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</si>
  <si>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</si>
  <si>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</si>
  <si>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</si>
  <si>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</si>
  <si>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</si>
  <si>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</si>
  <si>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</si>
  <si>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</si>
  <si>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</si>
  <si>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</si>
  <si>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</si>
  <si>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</si>
  <si>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</si>
  <si>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</si>
  <si>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</si>
  <si>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</si>
  <si>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</si>
  <si>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</si>
  <si>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</si>
  <si>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</si>
  <si>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</si>
  <si>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</si>
  <si>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</si>
  <si>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</si>
  <si>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</si>
  <si>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</si>
  <si>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</si>
  <si>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</si>
  <si>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</si>
  <si>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</si>
  <si>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</si>
  <si>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</si>
  <si>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</si>
  <si>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</si>
  <si>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</si>
  <si>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</si>
  <si>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</si>
  <si>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</si>
  <si>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</si>
  <si>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</si>
  <si>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</si>
  <si>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</si>
  <si>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</si>
  <si>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</si>
  <si>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</si>
  <si>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</si>
  <si>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</si>
  <si>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</si>
  <si>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</si>
  <si>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</si>
  <si>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</si>
  <si>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</si>
  <si>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</si>
  <si>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</si>
  <si>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</si>
  <si>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</si>
  <si>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</si>
  <si>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</si>
  <si>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</si>
  <si>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</si>
  <si>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</si>
  <si>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</si>
  <si>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</si>
  <si>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</si>
  <si>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</si>
  <si>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</si>
  <si>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</si>
  <si>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</si>
  <si>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</si>
  <si>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</si>
  <si>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</si>
  <si>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</si>
  <si>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</si>
  <si>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</si>
  <si>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</si>
  <si>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</si>
  <si>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</si>
  <si>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</si>
  <si>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</si>
  <si>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</si>
  <si>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</si>
  <si>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</si>
  <si>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</si>
  <si>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</si>
  <si>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</si>
  <si>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</si>
  <si>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</si>
  <si>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</si>
  <si>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</si>
  <si>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</si>
  <si>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</si>
  <si>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</si>
  <si>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</si>
  <si>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</si>
  <si>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</si>
  <si>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</si>
  <si>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</si>
  <si>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</si>
  <si>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</si>
  <si>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</si>
  <si>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</si>
  <si>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</si>
  <si>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</si>
  <si>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</si>
  <si>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</si>
  <si>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</si>
  <si>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</si>
  <si>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</si>
  <si>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</si>
  <si>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</si>
  <si>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</si>
  <si>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</si>
  <si>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</si>
  <si>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</si>
  <si>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</si>
  <si>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</si>
  <si>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</si>
  <si>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</si>
  <si>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</si>
  <si>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</si>
  <si>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</si>
  <si>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</si>
  <si>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</si>
  <si>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</si>
  <si>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</si>
  <si>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</si>
  <si>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</si>
  <si>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</si>
  <si>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</si>
  <si>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</si>
  <si>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</si>
  <si>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</si>
  <si>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</si>
  <si>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</si>
  <si>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</si>
  <si>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</si>
  <si>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</si>
  <si>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</si>
  <si>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</si>
  <si>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</si>
  <si>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</si>
  <si>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</si>
  <si>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</si>
  <si>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</si>
  <si>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</si>
  <si>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</si>
  <si>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</si>
  <si>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</si>
  <si>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</si>
  <si>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</si>
  <si>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</si>
  <si>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</si>
  <si>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</si>
  <si>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</si>
  <si>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</si>
  <si>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</si>
  <si>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</si>
  <si>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</si>
  <si>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</si>
  <si>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</si>
  <si>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</si>
  <si>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</si>
  <si>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</si>
  <si>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</si>
  <si>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</si>
  <si>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</si>
  <si>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</si>
  <si>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</si>
  <si>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</si>
  <si>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</si>
  <si>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</si>
  <si>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</si>
  <si>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</si>
  <si>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</si>
  <si>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</si>
  <si>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</si>
  <si>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</si>
  <si>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</si>
  <si>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</si>
  <si>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</si>
  <si>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</si>
  <si>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</si>
  <si>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</si>
  <si>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</si>
  <si>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</si>
  <si>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</si>
  <si>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</si>
  <si>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</si>
  <si>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</si>
  <si>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</si>
  <si>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</si>
  <si>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</si>
  <si>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</si>
  <si>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</si>
  <si>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</si>
  <si>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</si>
  <si>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</si>
  <si>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</si>
  <si>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</si>
  <si>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</si>
  <si>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</si>
  <si>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</si>
  <si>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</si>
  <si>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</si>
  <si>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</si>
  <si>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</si>
  <si>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</si>
  <si>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</si>
  <si>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</si>
  <si>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</si>
  <si>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</si>
  <si>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</si>
  <si>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</si>
  <si>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</si>
  <si>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</si>
  <si>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</si>
  <si>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</si>
  <si>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</si>
  <si>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</si>
  <si>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</si>
  <si>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</si>
  <si>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</si>
  <si>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</si>
  <si>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</si>
  <si>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</si>
  <si>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</si>
  <si>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</si>
  <si>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</si>
  <si>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</si>
  <si>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</si>
  <si>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</si>
  <si>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</si>
  <si>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</si>
  <si>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</si>
  <si>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</si>
  <si>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</si>
  <si>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</si>
  <si>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</si>
  <si>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</si>
  <si>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</si>
  <si>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</si>
  <si>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</si>
  <si>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</si>
  <si>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</si>
  <si>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</si>
  <si>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</si>
  <si>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</si>
  <si>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</si>
  <si>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</si>
  <si>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</si>
  <si>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</si>
  <si>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</si>
  <si>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</si>
  <si>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</si>
  <si>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</si>
  <si>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</si>
  <si>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</si>
  <si>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</si>
  <si>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</si>
  <si>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</si>
  <si>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</si>
  <si>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</si>
  <si>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</si>
  <si>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</si>
  <si>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</si>
  <si>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</si>
  <si>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</si>
  <si>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</si>
  <si>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</si>
  <si>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</si>
  <si>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</si>
  <si>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</si>
  <si>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</si>
  <si>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</si>
  <si>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</si>
  <si>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</si>
  <si>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</si>
  <si>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</si>
  <si>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</si>
  <si>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</si>
  <si>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</si>
  <si>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</si>
  <si>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</si>
  <si>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</si>
  <si>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</si>
  <si>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</si>
  <si>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</si>
  <si>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</si>
  <si>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</si>
  <si>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</si>
  <si>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</si>
  <si>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</si>
  <si>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</si>
  <si>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</si>
  <si>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</si>
  <si>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</si>
  <si>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</si>
  <si>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</si>
  <si>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</si>
  <si>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</si>
  <si>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</si>
  <si>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</si>
  <si>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</si>
  <si>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</si>
  <si>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</si>
  <si>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</si>
  <si>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</si>
  <si>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</si>
  <si>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</si>
  <si>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</si>
  <si>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</si>
  <si>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</si>
  <si>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</si>
  <si>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</si>
  <si>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</si>
  <si>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</si>
  <si>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</si>
  <si>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</si>
  <si>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</si>
  <si>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</si>
  <si>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</si>
  <si>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</si>
  <si>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</si>
  <si>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</si>
  <si>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</si>
  <si>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</si>
  <si>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</si>
  <si>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</si>
  <si>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</si>
  <si>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</si>
  <si>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</si>
  <si>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</si>
  <si>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</si>
  <si>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</si>
  <si>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</si>
  <si>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</si>
  <si>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</si>
  <si>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</si>
  <si>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</si>
  <si>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</si>
  <si>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</si>
  <si>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</si>
  <si>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</si>
  <si>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</si>
  <si>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</si>
  <si>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</si>
  <si>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</si>
  <si>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</si>
  <si>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</si>
  <si>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</si>
  <si>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</si>
  <si>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</si>
  <si>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</si>
  <si>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</si>
  <si>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</si>
  <si>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</si>
  <si>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</si>
  <si>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</si>
  <si>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</si>
  <si>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</si>
  <si>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</si>
  <si>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</si>
  <si>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</si>
  <si>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</si>
  <si>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</si>
  <si>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</si>
  <si>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</si>
  <si>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</si>
  <si>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</si>
  <si>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</si>
  <si>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</si>
  <si>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</si>
  <si>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</si>
  <si>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</si>
  <si>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</si>
  <si>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</si>
  <si>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</si>
  <si>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</si>
  <si>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</si>
  <si>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Інші витрати (СЕС, пільгова пенсія)</t>
  </si>
  <si>
    <t>інші операційні витрати (РКО, лікарняні за рах. ФЗП, ПДВ)</t>
  </si>
  <si>
    <t>інші доходи (доходи майбутніх періодів)</t>
  </si>
  <si>
    <t>Доходи від безоплатно одержаних необоротних активів</t>
  </si>
  <si>
    <t>Директор</t>
  </si>
  <si>
    <t>Олександр ІГНАТЮК</t>
  </si>
  <si>
    <t xml:space="preserve">Інші надходження (ФСС) </t>
  </si>
  <si>
    <t>інші платежі (земельний податок)</t>
  </si>
  <si>
    <t xml:space="preserve">Інші надходження (місцевий бюджет) </t>
  </si>
  <si>
    <r>
      <t>Витрати на електроенергію,</t>
    </r>
    <r>
      <rPr>
        <sz val="14"/>
        <color rgb="FFFF0000"/>
        <rFont val="Times New Roman"/>
        <family val="1"/>
        <charset val="204"/>
      </rPr>
      <t xml:space="preserve"> інші енергоносії</t>
    </r>
  </si>
  <si>
    <t>КНП "Ніжинська міська стоматологічна поліклініка"</t>
  </si>
  <si>
    <t>Комунальне некомерційне підприємство "Ніжинська міська стоматологічна поліклініка" Ніжинської міської ради Чернігівської області</t>
  </si>
  <si>
    <t>Комунальне некомерційне підприємство</t>
  </si>
  <si>
    <t>Ніжинська міська рада</t>
  </si>
  <si>
    <t>Стоматологічна практика</t>
  </si>
  <si>
    <t>Охорона здоров’я</t>
  </si>
  <si>
    <t>16600, Чернігівська область, м. Ніжин, вул. Батюка, 7</t>
  </si>
  <si>
    <t>(04631) 7-30-10</t>
  </si>
  <si>
    <t>Ігнатюк Олександр Борисович</t>
  </si>
  <si>
    <t>05480631</t>
  </si>
  <si>
    <t>86.23</t>
  </si>
  <si>
    <t>86.23 Стоматологінча практика</t>
  </si>
  <si>
    <t>інші податки, збори та платежі (вйськовий збір)</t>
  </si>
  <si>
    <t>Інші витрачання (ФСС,РКО, сплата грошовий зобовязань)</t>
  </si>
  <si>
    <t>інші адміністративні витрати (послуги, канцелярія, банківське обслуговування, господарські товари)</t>
  </si>
  <si>
    <t xml:space="preserve">інші зобов’язання з податків і зборів, у тому числі:військовий збір
 </t>
  </si>
  <si>
    <t>,</t>
  </si>
  <si>
    <t>за 2025 рік</t>
  </si>
  <si>
    <t>до звіту про виконання фінансового плану за  2025 рік</t>
  </si>
  <si>
    <t>придбання (виготовлення) основних засобів (двері металопластикові,(паровий стерилізатор -410,4 тис.грн.(місцевий бюджет), інжекційна машина -52,0 тис.грн., компресор стоматологічний - 36,9 тис.грн.(власні кошти), Автомобіль MERCEDES-BENZ - 505,6 тис.грн.(благодійна допомога),Стоматологічна установка - 2 шт(місцевий бюджет),  ультразвукова мийка, пристрій для упаковки інструментів(власні кошта), пристрій безперебійного живлення ТЕСЛА - 2 шт. (благодійна допомога), стабілізатор напруги - 3 шт(місцевий бюджет),  цифрова камера, ендомашини-9 шт(власні кошти), торгова ятка(благодійна допомога))</t>
  </si>
  <si>
    <t>придбання (виготовлення) інших необоротних матеріальних активів (стіл офісний, тумбочки  4 шт, полиця навісна 4 шт. стійка рнцепшен, крісло 4 шт., електро чайник, Стіл виробничий з мийною ванною, стіл-тумба, стіл виробничий,,компютерна техніка, кондиціонер(2шт.), бормашина портативна, скалер(3шт), стіл виробничий - 4 шт., кондиціонер - 2 шт., опромінювач ультрафіолетовий - 5 шт., (мобільний телефон, діатермокоагулятор, фотополімерні лампи-9 шт.(власні кошти), стоматологічне обладнання Б/У( благодійна допомога))</t>
  </si>
  <si>
    <t xml:space="preserve">курсові різниці (Дохід від оренди, відшкодування вартості спожитих орендарями комунальних послуг) </t>
  </si>
  <si>
    <t>дохід від списання ТМЦ від попередніх періодів</t>
  </si>
  <si>
    <t>дохід від цільового фінансування  на виконання заходів міської цільової прогарми фінансової підтримки КНП(енергоносії - 915,0 тис. грн., пільгові пенсії- 35,0 тис.грн., інші послуги крім комунальних-212,0 тис.грн)</t>
  </si>
  <si>
    <t>дохід від  фінансування  на виконання заходів міської програми інформатизації виконавчого комітету</t>
  </si>
  <si>
    <t>дохід від компенсації чорнобильської відпустки</t>
  </si>
  <si>
    <t>дохід від безоплатного отримання оборотних активів</t>
  </si>
  <si>
    <t>бюджетне фінансування(енергоносії - 915,0 тис. грн., пільгові пенсії- 35,0 тис.грн., інші послуги крім комунальних-212,0 тис.грн., програма інформатизації-160тис.грню)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</si>
</sst>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40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4" applyFont="1" applyFill="1" applyBorder="1" applyAlignment="1">
      <alignment vertical="center"/>
    </xf>
    <xf numFmtId="0" fontId="5" fillId="0" borderId="3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vertical="center"/>
    </xf>
    <xf numFmtId="0" fontId="5" fillId="0" borderId="0" xfId="244" applyFont="1" applyFill="1" applyBorder="1" applyAlignment="1">
      <alignment horizontal="center" vertical="center"/>
    </xf>
    <xf numFmtId="0" fontId="4" fillId="0" borderId="0" xfId="244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4" applyFont="1" applyFill="1" applyBorder="1" applyAlignment="1">
      <alignment horizontal="center" vertical="center"/>
    </xf>
    <xf numFmtId="0" fontId="13" fillId="0" borderId="0" xfId="244" applyFont="1" applyFill="1"/>
    <xf numFmtId="0" fontId="5" fillId="0" borderId="0" xfId="244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4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4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4" applyFont="1" applyFill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64" fontId="5" fillId="0" borderId="3" xfId="244" applyNumberFormat="1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4" applyNumberFormat="1" applyFont="1" applyFill="1" applyBorder="1" applyAlignment="1">
      <alignment horizontal="center" vertical="center" wrapText="1"/>
    </xf>
    <xf numFmtId="0" fontId="4" fillId="0" borderId="3" xfId="244" applyFont="1" applyFill="1" applyBorder="1" applyAlignment="1">
      <alignment horizontal="right" vertical="center" wrapText="1"/>
    </xf>
    <xf numFmtId="0" fontId="4" fillId="0" borderId="3" xfId="244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244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>
      <alignment horizontal="left" vertical="center"/>
    </xf>
    <xf numFmtId="0" fontId="4" fillId="0" borderId="24" xfId="0" quotePrefix="1" applyFont="1" applyFill="1" applyBorder="1" applyAlignment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quotePrefix="1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Fill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4" fillId="0" borderId="35" xfId="236" applyNumberFormat="1" applyFont="1" applyFill="1" applyBorder="1" applyAlignment="1">
      <alignment horizontal="center" vertical="center" wrapText="1"/>
    </xf>
    <xf numFmtId="0" fontId="4" fillId="0" borderId="36" xfId="236" applyNumberFormat="1" applyFont="1" applyFill="1" applyBorder="1" applyAlignment="1">
      <alignment horizontal="center" vertical="center" wrapText="1"/>
    </xf>
    <xf numFmtId="0" fontId="4" fillId="0" borderId="37" xfId="236" applyNumberFormat="1" applyFont="1" applyFill="1" applyBorder="1" applyAlignment="1">
      <alignment horizontal="left" vertical="center" wrapText="1"/>
    </xf>
    <xf numFmtId="0" fontId="4" fillId="0" borderId="38" xfId="236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5" fillId="27" borderId="18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0" fontId="5" fillId="27" borderId="3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49" fontId="5" fillId="30" borderId="3" xfId="0" applyNumberFormat="1" applyFont="1" applyFill="1" applyBorder="1" applyAlignment="1">
      <alignment vertical="center" wrapText="1"/>
    </xf>
    <xf numFmtId="1" fontId="4" fillId="27" borderId="3" xfId="244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27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49" fontId="4" fillId="0" borderId="0" xfId="0" quotePrefix="1" applyNumberFormat="1" applyFont="1" applyFill="1" applyBorder="1" applyAlignment="1">
      <alignment horizontal="center" vertical="center" wrapText="1"/>
    </xf>
    <xf numFmtId="49" fontId="5" fillId="0" borderId="0" xfId="0" quotePrefix="1" applyNumberFormat="1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77" fontId="5" fillId="30" borderId="3" xfId="0" applyNumberFormat="1" applyFont="1" applyFill="1" applyBorder="1" applyAlignment="1">
      <alignment horizontal="center" vertical="center" wrapText="1"/>
    </xf>
    <xf numFmtId="164" fontId="4" fillId="30" borderId="3" xfId="0" applyNumberFormat="1" applyFont="1" applyFill="1" applyBorder="1" applyAlignment="1">
      <alignment horizontal="right" vertical="center" wrapText="1"/>
    </xf>
    <xf numFmtId="164" fontId="5" fillId="30" borderId="3" xfId="0" applyNumberFormat="1" applyFont="1" applyFill="1" applyBorder="1" applyAlignment="1">
      <alignment horizontal="right" vertical="center" wrapText="1"/>
    </xf>
    <xf numFmtId="164" fontId="4" fillId="30" borderId="3" xfId="0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244" applyFont="1" applyFill="1" applyBorder="1" applyAlignment="1">
      <alignment horizontal="center" vertical="center"/>
    </xf>
    <xf numFmtId="0" fontId="5" fillId="0" borderId="30" xfId="244" applyFont="1" applyFill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29" xfId="0" applyFont="1" applyFill="1" applyBorder="1" applyAlignment="1">
      <alignment horizontal="left" vertical="center" wrapText="1"/>
    </xf>
    <xf numFmtId="0" fontId="5" fillId="30" borderId="16" xfId="0" applyFont="1" applyFill="1" applyBorder="1" applyAlignment="1">
      <alignment horizontal="left" vertical="center" wrapText="1"/>
    </xf>
    <xf numFmtId="0" fontId="5" fillId="30" borderId="1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5" xfId="236" applyNumberFormat="1" applyFont="1" applyFill="1" applyBorder="1" applyAlignment="1">
      <alignment horizontal="center" vertical="center" wrapText="1"/>
    </xf>
    <xf numFmtId="0" fontId="4" fillId="0" borderId="34" xfId="236" applyNumberFormat="1" applyFont="1" applyFill="1" applyBorder="1" applyAlignment="1">
      <alignment horizontal="center" vertical="center" wrapText="1"/>
    </xf>
    <xf numFmtId="0" fontId="4" fillId="0" borderId="41" xfId="236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49" fontId="5" fillId="0" borderId="29" xfId="0" quotePrefix="1" applyNumberFormat="1" applyFont="1" applyFill="1" applyBorder="1" applyAlignment="1">
      <alignment horizontal="center" vertical="center" wrapText="1"/>
    </xf>
    <xf numFmtId="49" fontId="5" fillId="0" borderId="16" xfId="0" quotePrefix="1" applyNumberFormat="1" applyFont="1" applyFill="1" applyBorder="1" applyAlignment="1">
      <alignment horizontal="center" vertical="center" wrapText="1"/>
    </xf>
    <xf numFmtId="49" fontId="5" fillId="0" borderId="17" xfId="0" quotePrefix="1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4" fillId="0" borderId="29" xfId="244" applyFont="1" applyFill="1" applyBorder="1" applyAlignment="1">
      <alignment horizontal="left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9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center" vertical="center" wrapText="1"/>
    </xf>
    <xf numFmtId="0" fontId="4" fillId="0" borderId="17" xfId="24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4" applyFont="1" applyFill="1" applyBorder="1" applyAlignment="1">
      <alignment horizontal="center" vertical="center" wrapText="1"/>
    </xf>
    <xf numFmtId="0" fontId="5" fillId="0" borderId="46" xfId="244" applyFont="1" applyFill="1" applyBorder="1" applyAlignment="1">
      <alignment horizontal="center" vertical="center" wrapText="1"/>
    </xf>
    <xf numFmtId="0" fontId="5" fillId="0" borderId="15" xfId="24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9" xfId="244" applyFont="1" applyFill="1" applyBorder="1" applyAlignment="1">
      <alignment horizontal="center" vertical="center"/>
    </xf>
    <xf numFmtId="0" fontId="5" fillId="0" borderId="16" xfId="244" applyFont="1" applyFill="1" applyBorder="1" applyAlignment="1">
      <alignment horizontal="center" vertical="center"/>
    </xf>
    <xf numFmtId="0" fontId="5" fillId="0" borderId="17" xfId="24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29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29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3"/>
  <sheetViews>
    <sheetView topLeftCell="A12" zoomScale="69" zoomScaleNormal="69" zoomScaleSheetLayoutView="50" zoomScalePageLayoutView="73" workbookViewId="0">
      <selection activeCell="F110" sqref="F110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5.710937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29"/>
      <c r="B1" s="14"/>
      <c r="C1" s="14"/>
      <c r="D1" s="14"/>
      <c r="E1" s="229"/>
      <c r="F1" s="229" t="s">
        <v>0</v>
      </c>
      <c r="G1" s="214"/>
      <c r="H1" s="214"/>
      <c r="I1" s="54"/>
      <c r="J1" s="54"/>
      <c r="K1" s="54"/>
      <c r="L1" s="54"/>
    </row>
    <row r="2" spans="1:12" ht="18.75" customHeight="1">
      <c r="A2" s="43"/>
      <c r="B2" s="208"/>
      <c r="C2" s="208"/>
      <c r="D2" s="208"/>
      <c r="E2" s="229"/>
      <c r="F2" s="174" t="s">
        <v>1</v>
      </c>
      <c r="G2" s="214"/>
      <c r="H2" s="214"/>
      <c r="I2" s="54"/>
      <c r="J2" s="54"/>
      <c r="K2" s="54"/>
      <c r="L2" s="54"/>
    </row>
    <row r="3" spans="1:12" ht="18.75" customHeight="1">
      <c r="A3" s="208"/>
      <c r="B3" s="208"/>
      <c r="C3" s="208"/>
      <c r="D3" s="208"/>
      <c r="E3" s="214"/>
      <c r="F3" s="174" t="s">
        <v>2</v>
      </c>
      <c r="G3" s="214"/>
      <c r="H3" s="214"/>
      <c r="I3" s="54"/>
      <c r="J3" s="54"/>
      <c r="K3" s="54"/>
      <c r="L3" s="54"/>
    </row>
    <row r="4" spans="1:12" ht="18.75" customHeight="1">
      <c r="A4" s="208"/>
      <c r="B4" s="208"/>
      <c r="C4" s="208"/>
      <c r="D4" s="208"/>
      <c r="E4" s="214"/>
      <c r="F4" s="214" t="s">
        <v>3</v>
      </c>
      <c r="G4" s="214"/>
      <c r="H4" s="214"/>
      <c r="I4" s="54"/>
      <c r="J4" s="54"/>
      <c r="K4" s="54"/>
      <c r="L4" s="54"/>
    </row>
    <row r="5" spans="1:12" ht="18.75" customHeight="1">
      <c r="A5" s="208"/>
      <c r="B5" s="208"/>
      <c r="C5" s="208"/>
      <c r="D5" s="208"/>
      <c r="E5" s="214"/>
      <c r="F5" s="214"/>
      <c r="G5" s="214"/>
      <c r="H5" s="214"/>
      <c r="I5" s="54"/>
      <c r="J5" s="54"/>
      <c r="K5" s="54"/>
      <c r="L5" s="54"/>
    </row>
    <row r="6" spans="1:12" ht="18.75" customHeight="1">
      <c r="A6" s="208"/>
      <c r="B6" s="208"/>
      <c r="C6" s="208"/>
      <c r="D6" s="208"/>
      <c r="E6" s="214"/>
      <c r="F6" s="214"/>
      <c r="G6" s="214"/>
      <c r="H6" s="214"/>
      <c r="I6" s="54"/>
      <c r="J6" s="54"/>
      <c r="K6" s="54"/>
      <c r="L6" s="54"/>
    </row>
    <row r="7" spans="1:12" ht="18.75" customHeight="1">
      <c r="A7" s="208"/>
      <c r="B7" s="208"/>
      <c r="C7" s="208"/>
      <c r="D7" s="208"/>
      <c r="E7" s="214"/>
      <c r="F7" s="214"/>
      <c r="G7" s="214"/>
      <c r="H7" s="214"/>
      <c r="I7" s="54"/>
      <c r="J7" s="54"/>
      <c r="K7" s="54"/>
      <c r="L7" s="54"/>
    </row>
    <row r="8" spans="1:12" ht="18.75" customHeight="1">
      <c r="A8" s="208"/>
      <c r="B8" s="208"/>
      <c r="C8" s="208"/>
      <c r="D8" s="208"/>
      <c r="E8" s="214"/>
      <c r="F8" s="214"/>
      <c r="G8" s="214"/>
      <c r="H8" s="214"/>
      <c r="I8" s="54"/>
      <c r="J8" s="54"/>
      <c r="K8" s="54"/>
      <c r="L8" s="54"/>
    </row>
    <row r="9" spans="1:12" ht="39.75" customHeight="1">
      <c r="A9" s="137"/>
      <c r="B9" s="138"/>
      <c r="C9" s="138"/>
      <c r="D9" s="138"/>
      <c r="E9" s="282" t="s">
        <v>4</v>
      </c>
      <c r="F9" s="283"/>
      <c r="G9" s="282" t="s">
        <v>5</v>
      </c>
      <c r="H9" s="283"/>
      <c r="I9" s="229"/>
      <c r="J9" s="229"/>
      <c r="K9" s="229"/>
      <c r="L9" s="229"/>
    </row>
    <row r="10" spans="1:12" ht="54.75" customHeight="1">
      <c r="A10" s="139" t="s">
        <v>6</v>
      </c>
      <c r="B10" s="282" t="s">
        <v>419</v>
      </c>
      <c r="C10" s="284"/>
      <c r="D10" s="283"/>
      <c r="E10" s="140" t="s">
        <v>7</v>
      </c>
      <c r="F10" s="239" t="s">
        <v>427</v>
      </c>
      <c r="G10" s="141" t="s">
        <v>8</v>
      </c>
      <c r="H10" s="142"/>
      <c r="I10" s="229"/>
      <c r="J10" s="229"/>
      <c r="K10" s="229"/>
      <c r="L10" s="229"/>
    </row>
    <row r="11" spans="1:12" ht="20.100000000000001" customHeight="1">
      <c r="A11" s="140" t="s">
        <v>9</v>
      </c>
      <c r="B11" s="285" t="s">
        <v>420</v>
      </c>
      <c r="C11" s="286"/>
      <c r="D11" s="287"/>
      <c r="E11" s="139" t="s">
        <v>10</v>
      </c>
      <c r="F11" s="239">
        <v>150</v>
      </c>
      <c r="G11" s="141" t="s">
        <v>8</v>
      </c>
      <c r="H11" s="142"/>
      <c r="I11" s="229"/>
      <c r="J11" s="229"/>
      <c r="K11" s="229"/>
      <c r="L11" s="229"/>
    </row>
    <row r="12" spans="1:12" ht="20.100000000000001" customHeight="1">
      <c r="A12" s="143" t="s">
        <v>11</v>
      </c>
      <c r="B12" s="285" t="s">
        <v>421</v>
      </c>
      <c r="C12" s="286"/>
      <c r="D12" s="287"/>
      <c r="E12" s="140" t="s">
        <v>12</v>
      </c>
      <c r="F12" s="239"/>
      <c r="G12" s="141" t="s">
        <v>8</v>
      </c>
      <c r="H12" s="142"/>
      <c r="I12" s="229"/>
      <c r="J12" s="229"/>
      <c r="K12" s="229"/>
      <c r="L12" s="229"/>
    </row>
    <row r="13" spans="1:12" ht="20.100000000000001" customHeight="1">
      <c r="A13" s="139" t="s">
        <v>13</v>
      </c>
      <c r="B13" s="285" t="s">
        <v>422</v>
      </c>
      <c r="C13" s="286"/>
      <c r="D13" s="287"/>
      <c r="E13" s="139" t="s">
        <v>14</v>
      </c>
      <c r="F13" s="239" t="s">
        <v>428</v>
      </c>
      <c r="G13" s="141" t="s">
        <v>8</v>
      </c>
      <c r="H13" s="142"/>
      <c r="I13" s="229"/>
      <c r="J13" s="229"/>
      <c r="K13" s="229"/>
      <c r="L13" s="229"/>
    </row>
    <row r="14" spans="1:12" ht="20.100000000000001" customHeight="1">
      <c r="A14" s="139" t="s">
        <v>15</v>
      </c>
      <c r="B14" s="285" t="s">
        <v>423</v>
      </c>
      <c r="C14" s="286"/>
      <c r="D14" s="286"/>
      <c r="E14" s="286"/>
      <c r="F14" s="286"/>
      <c r="G14" s="286"/>
      <c r="H14" s="287"/>
      <c r="I14" s="229"/>
      <c r="J14" s="229"/>
      <c r="K14" s="229"/>
      <c r="L14" s="229"/>
    </row>
    <row r="15" spans="1:12" ht="20.100000000000001" customHeight="1">
      <c r="A15" s="139" t="s">
        <v>16</v>
      </c>
      <c r="B15" s="282"/>
      <c r="C15" s="284"/>
      <c r="D15" s="284"/>
      <c r="E15" s="284"/>
      <c r="F15" s="284"/>
      <c r="G15" s="284"/>
      <c r="H15" s="283"/>
      <c r="I15" s="229"/>
      <c r="J15" s="229"/>
      <c r="K15" s="229"/>
      <c r="L15" s="229"/>
    </row>
    <row r="16" spans="1:12" ht="20.100000000000001" customHeight="1">
      <c r="A16" s="139" t="s">
        <v>17</v>
      </c>
      <c r="B16" s="282"/>
      <c r="C16" s="284"/>
      <c r="D16" s="284"/>
      <c r="E16" s="284"/>
      <c r="F16" s="284"/>
      <c r="G16" s="284"/>
      <c r="H16" s="283"/>
      <c r="I16" s="229"/>
      <c r="J16" s="229"/>
      <c r="K16" s="229"/>
      <c r="L16" s="229"/>
    </row>
    <row r="17" spans="1:8" ht="20.100000000000001" customHeight="1">
      <c r="A17" s="139" t="s">
        <v>18</v>
      </c>
      <c r="B17" s="285">
        <v>57</v>
      </c>
      <c r="C17" s="286"/>
      <c r="D17" s="286"/>
      <c r="E17" s="286"/>
      <c r="F17" s="286"/>
      <c r="G17" s="286"/>
      <c r="H17" s="287"/>
    </row>
    <row r="18" spans="1:8" ht="20.100000000000001" customHeight="1">
      <c r="A18" s="10" t="s">
        <v>19</v>
      </c>
      <c r="B18" s="279" t="s">
        <v>424</v>
      </c>
      <c r="C18" s="280"/>
      <c r="D18" s="280"/>
      <c r="E18" s="280"/>
      <c r="F18" s="280"/>
      <c r="G18" s="280"/>
      <c r="H18" s="281"/>
    </row>
    <row r="19" spans="1:8" ht="20.100000000000001" customHeight="1">
      <c r="A19" s="8" t="s">
        <v>20</v>
      </c>
      <c r="B19" s="279" t="s">
        <v>425</v>
      </c>
      <c r="C19" s="280"/>
      <c r="D19" s="280"/>
      <c r="E19" s="281"/>
      <c r="F19" s="279" t="s">
        <v>21</v>
      </c>
      <c r="G19" s="281"/>
      <c r="H19" s="8"/>
    </row>
    <row r="20" spans="1:8" ht="19.5" customHeight="1">
      <c r="A20" s="10" t="s">
        <v>22</v>
      </c>
      <c r="B20" s="279" t="s">
        <v>426</v>
      </c>
      <c r="C20" s="280"/>
      <c r="D20" s="280"/>
      <c r="E20" s="281"/>
      <c r="F20" s="300" t="s">
        <v>23</v>
      </c>
      <c r="G20" s="301"/>
      <c r="H20" s="8"/>
    </row>
    <row r="21" spans="1:8" ht="20.100000000000001" customHeight="1">
      <c r="A21" s="229"/>
      <c r="B21" s="32"/>
      <c r="C21" s="32"/>
      <c r="D21" s="32"/>
      <c r="E21" s="32"/>
      <c r="F21" s="229"/>
      <c r="G21" s="229"/>
      <c r="H21" s="229"/>
    </row>
    <row r="22" spans="1:8" ht="19.5" customHeight="1">
      <c r="A22" s="214"/>
      <c r="B22" s="229"/>
      <c r="C22" s="229"/>
      <c r="D22" s="229"/>
      <c r="E22" s="229"/>
      <c r="F22" s="229"/>
      <c r="G22" s="229"/>
      <c r="H22" s="229"/>
    </row>
    <row r="23" spans="1:8" ht="19.5" customHeight="1">
      <c r="A23" s="274" t="s">
        <v>24</v>
      </c>
      <c r="B23" s="274"/>
      <c r="C23" s="274"/>
      <c r="D23" s="274"/>
      <c r="E23" s="274"/>
      <c r="F23" s="274"/>
      <c r="G23" s="274"/>
      <c r="H23" s="274"/>
    </row>
    <row r="24" spans="1:8">
      <c r="A24" s="274" t="s">
        <v>25</v>
      </c>
      <c r="B24" s="274"/>
      <c r="C24" s="274"/>
      <c r="D24" s="274"/>
      <c r="E24" s="274"/>
      <c r="F24" s="274"/>
      <c r="G24" s="274"/>
      <c r="H24" s="274"/>
    </row>
    <row r="25" spans="1:8">
      <c r="A25" s="274" t="s">
        <v>435</v>
      </c>
      <c r="B25" s="274"/>
      <c r="C25" s="274"/>
      <c r="D25" s="274"/>
      <c r="E25" s="274"/>
      <c r="F25" s="274"/>
      <c r="G25" s="274"/>
      <c r="H25" s="274"/>
    </row>
    <row r="26" spans="1:8">
      <c r="A26" s="268" t="s">
        <v>26</v>
      </c>
      <c r="B26" s="268"/>
      <c r="C26" s="268"/>
      <c r="D26" s="268"/>
      <c r="E26" s="268"/>
      <c r="F26" s="268"/>
      <c r="G26" s="268"/>
      <c r="H26" s="268"/>
    </row>
    <row r="27" spans="1:8" ht="9" customHeight="1">
      <c r="A27" s="203"/>
      <c r="B27" s="203"/>
      <c r="C27" s="203"/>
      <c r="D27" s="203"/>
      <c r="E27" s="203"/>
      <c r="F27" s="203"/>
      <c r="G27" s="203"/>
      <c r="H27" s="203"/>
    </row>
    <row r="28" spans="1:8">
      <c r="A28" s="274" t="s">
        <v>27</v>
      </c>
      <c r="B28" s="274"/>
      <c r="C28" s="274"/>
      <c r="D28" s="274"/>
      <c r="E28" s="274"/>
      <c r="F28" s="274"/>
      <c r="G28" s="274"/>
      <c r="H28" s="274"/>
    </row>
    <row r="29" spans="1:8" ht="12" customHeight="1" thickBot="1">
      <c r="A29" s="229"/>
      <c r="B29" s="17"/>
      <c r="C29" s="17"/>
      <c r="D29" s="17"/>
      <c r="E29" s="17"/>
      <c r="F29" s="17"/>
      <c r="G29" s="17"/>
      <c r="H29" s="17"/>
    </row>
    <row r="30" spans="1:8" ht="43.5" customHeight="1">
      <c r="A30" s="277" t="s">
        <v>28</v>
      </c>
      <c r="B30" s="275" t="s">
        <v>29</v>
      </c>
      <c r="C30" s="275" t="s">
        <v>30</v>
      </c>
      <c r="D30" s="275"/>
      <c r="E30" s="269" t="s">
        <v>31</v>
      </c>
      <c r="F30" s="269"/>
      <c r="G30" s="269"/>
      <c r="H30" s="270"/>
    </row>
    <row r="31" spans="1:8" ht="44.25" customHeight="1">
      <c r="A31" s="278"/>
      <c r="B31" s="276"/>
      <c r="C31" s="205" t="s">
        <v>32</v>
      </c>
      <c r="D31" s="205" t="s">
        <v>33</v>
      </c>
      <c r="E31" s="226" t="s">
        <v>34</v>
      </c>
      <c r="F31" s="226" t="s">
        <v>35</v>
      </c>
      <c r="G31" s="226" t="s">
        <v>36</v>
      </c>
      <c r="H31" s="92" t="s">
        <v>37</v>
      </c>
    </row>
    <row r="32" spans="1:8" ht="19.5" thickBot="1">
      <c r="A32" s="129">
        <v>1</v>
      </c>
      <c r="B32" s="130">
        <v>2</v>
      </c>
      <c r="C32" s="104">
        <v>3</v>
      </c>
      <c r="D32" s="130">
        <v>4</v>
      </c>
      <c r="E32" s="104">
        <v>5</v>
      </c>
      <c r="F32" s="130">
        <v>6</v>
      </c>
      <c r="G32" s="104">
        <v>7</v>
      </c>
      <c r="H32" s="131">
        <v>8</v>
      </c>
    </row>
    <row r="33" spans="1:8" s="5" customFormat="1" ht="25.5" customHeight="1" thickBot="1">
      <c r="A33" s="265" t="s">
        <v>38</v>
      </c>
      <c r="B33" s="266"/>
      <c r="C33" s="266"/>
      <c r="D33" s="266"/>
      <c r="E33" s="266"/>
      <c r="F33" s="266"/>
      <c r="G33" s="266"/>
      <c r="H33" s="267"/>
    </row>
    <row r="34" spans="1:8" s="5" customFormat="1" ht="20.100000000000001" customHeight="1">
      <c r="A34" s="185" t="s">
        <v>39</v>
      </c>
      <c r="B34" s="204">
        <v>1000</v>
      </c>
      <c r="C34" s="105">
        <f>'І. Інф. до звіт.'!C23</f>
        <v>22105.5</v>
      </c>
      <c r="D34" s="105">
        <f>'І. Інф. до звіт.'!D23</f>
        <v>25647.5</v>
      </c>
      <c r="E34" s="105">
        <f>'І. Інф. до звіт.'!E23</f>
        <v>24930</v>
      </c>
      <c r="F34" s="105">
        <f>'І. Інф. до звіт.'!F23</f>
        <v>25647.5</v>
      </c>
      <c r="G34" s="154">
        <f>F34-E34</f>
        <v>717.5</v>
      </c>
      <c r="H34" s="162">
        <f>(F34/E34)*100</f>
        <v>102.87805856397914</v>
      </c>
    </row>
    <row r="35" spans="1:8" s="5" customFormat="1" ht="20.100000000000001" customHeight="1">
      <c r="A35" s="108" t="s">
        <v>40</v>
      </c>
      <c r="B35" s="205">
        <v>1010</v>
      </c>
      <c r="C35" s="55">
        <f>'І. Інф. до звіт.'!C24</f>
        <v>-17715.899999999994</v>
      </c>
      <c r="D35" s="55">
        <f>'І. Інф. до звіт.'!D24</f>
        <v>-20075.600000000002</v>
      </c>
      <c r="E35" s="55">
        <f>'І. Інф. до звіт.'!E24</f>
        <v>-22633</v>
      </c>
      <c r="F35" s="55">
        <f>'І. Інф. до звіт.'!F24</f>
        <v>-20075.600000000002</v>
      </c>
      <c r="G35" s="182">
        <f>F35-E35</f>
        <v>2557.3999999999978</v>
      </c>
      <c r="H35" s="184">
        <f>(F35/E35)*100</f>
        <v>88.700569964211567</v>
      </c>
    </row>
    <row r="36" spans="1:8" s="5" customFormat="1" ht="20.100000000000001" customHeight="1">
      <c r="A36" s="109" t="s">
        <v>41</v>
      </c>
      <c r="B36" s="217">
        <v>1020</v>
      </c>
      <c r="C36" s="223">
        <f>SUM(C34:C35)</f>
        <v>4389.6000000000058</v>
      </c>
      <c r="D36" s="223">
        <f>SUM(D34:D35)</f>
        <v>5571.8999999999978</v>
      </c>
      <c r="E36" s="223">
        <f>SUM(E34:E35)</f>
        <v>2297</v>
      </c>
      <c r="F36" s="223">
        <f>SUM(F34:F35)</f>
        <v>5571.8999999999978</v>
      </c>
      <c r="G36" s="151">
        <f>F36-E36</f>
        <v>3274.8999999999978</v>
      </c>
      <c r="H36" s="160">
        <f>(F36/E36)*100</f>
        <v>242.57292120156717</v>
      </c>
    </row>
    <row r="37" spans="1:8" s="5" customFormat="1" ht="20.100000000000001" customHeight="1">
      <c r="A37" s="110" t="s">
        <v>42</v>
      </c>
      <c r="B37" s="217">
        <v>1300</v>
      </c>
      <c r="C37" s="56">
        <f>'І. Інф. до звіт.'!C103</f>
        <v>2081.8000000000047</v>
      </c>
      <c r="D37" s="56">
        <f>'І. Інф. до звіт.'!D103</f>
        <v>2418.8999999999978</v>
      </c>
      <c r="E37" s="56">
        <f>'І. Інф. до звіт.'!E103</f>
        <v>414</v>
      </c>
      <c r="F37" s="56">
        <f>'І. Інф. до звіт.'!F103</f>
        <v>2418.8999999999978</v>
      </c>
      <c r="G37" s="151">
        <f>F37-E37</f>
        <v>2004.8999999999978</v>
      </c>
      <c r="H37" s="160">
        <f>(F37/E37)*100</f>
        <v>584.27536231884005</v>
      </c>
    </row>
    <row r="38" spans="1:8" s="5" customFormat="1" ht="20.100000000000001" customHeight="1" thickBot="1">
      <c r="A38" s="127" t="s">
        <v>43</v>
      </c>
      <c r="B38" s="128">
        <v>1200</v>
      </c>
      <c r="C38" s="90">
        <f>'І. Інф. до звіт.'!C97</f>
        <v>1886.2000000000048</v>
      </c>
      <c r="D38" s="90">
        <f>'І. Інф. до звіт.'!D97</f>
        <v>2110.4999999999977</v>
      </c>
      <c r="E38" s="90">
        <f>'І. Інф. до звіт.'!E97</f>
        <v>204</v>
      </c>
      <c r="F38" s="90">
        <f>'І. Інф. до звіт.'!F97</f>
        <v>2110.4999999999977</v>
      </c>
      <c r="G38" s="152">
        <f>F38-E38</f>
        <v>1906.4999999999977</v>
      </c>
      <c r="H38" s="161">
        <f>(F38/E38)*100</f>
        <v>1034.5588235294108</v>
      </c>
    </row>
    <row r="39" spans="1:8" s="5" customFormat="1" ht="28.5" customHeight="1" thickBot="1">
      <c r="A39" s="265" t="s">
        <v>44</v>
      </c>
      <c r="B39" s="266"/>
      <c r="C39" s="266"/>
      <c r="D39" s="266"/>
      <c r="E39" s="266"/>
      <c r="F39" s="266"/>
      <c r="G39" s="266"/>
      <c r="H39" s="267"/>
    </row>
    <row r="40" spans="1:8" s="5" customFormat="1">
      <c r="A40" s="124" t="s">
        <v>45</v>
      </c>
      <c r="B40" s="103">
        <v>2111</v>
      </c>
      <c r="C40" s="105">
        <f>'ІІ. Розр. з бюджетом'!C24</f>
        <v>0</v>
      </c>
      <c r="D40" s="105">
        <f>'ІІ. Розр. з бюджетом'!D24</f>
        <v>0</v>
      </c>
      <c r="E40" s="105">
        <f>'ІІ. Розр. з бюджетом'!E24</f>
        <v>0</v>
      </c>
      <c r="F40" s="105">
        <f>'ІІ. Розр. з бюджетом'!F24</f>
        <v>0</v>
      </c>
      <c r="G40" s="154">
        <f t="shared" ref="G40:G45" si="0">F40-E40</f>
        <v>0</v>
      </c>
      <c r="H40" s="162" t="e">
        <f t="shared" ref="H40:H45" si="1">(F40/E40)*100</f>
        <v>#DIV/0!</v>
      </c>
    </row>
    <row r="41" spans="1:8" s="5" customFormat="1" ht="37.5">
      <c r="A41" s="111" t="s">
        <v>46</v>
      </c>
      <c r="B41" s="209">
        <v>2112</v>
      </c>
      <c r="C41" s="51">
        <f>'ІІ. Розр. з бюджетом'!C25</f>
        <v>0</v>
      </c>
      <c r="D41" s="51">
        <f>'ІІ. Розр. з бюджетом'!D25</f>
        <v>9.3999999999999986</v>
      </c>
      <c r="E41" s="51">
        <f>'ІІ. Розр. з бюджетом'!E25</f>
        <v>0</v>
      </c>
      <c r="F41" s="51">
        <f>'ІІ. Розр. з бюджетом'!F25</f>
        <v>9.3999999999999986</v>
      </c>
      <c r="G41" s="182">
        <f t="shared" si="0"/>
        <v>9.3999999999999986</v>
      </c>
      <c r="H41" s="184" t="e">
        <f t="shared" si="1"/>
        <v>#DIV/0!</v>
      </c>
    </row>
    <row r="42" spans="1:8" s="5" customFormat="1" ht="36.75" customHeight="1">
      <c r="A42" s="112" t="s">
        <v>47</v>
      </c>
      <c r="B42" s="205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 t="str">
        <f>'ІІ. Розр. з бюджетом'!E26</f>
        <v>(    )</v>
      </c>
      <c r="F42" s="51" t="str">
        <f>'ІІ. Розр. з бюджетом'!F26</f>
        <v>(    )</v>
      </c>
      <c r="G42" s="182" t="e">
        <f t="shared" si="0"/>
        <v>#VALUE!</v>
      </c>
      <c r="H42" s="184" t="e">
        <f t="shared" si="1"/>
        <v>#VALUE!</v>
      </c>
    </row>
    <row r="43" spans="1:8" s="5" customFormat="1" ht="42" customHeight="1">
      <c r="A43" s="112" t="s">
        <v>48</v>
      </c>
      <c r="B43" s="205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82">
        <f t="shared" si="0"/>
        <v>0</v>
      </c>
      <c r="H43" s="184" t="e">
        <f t="shared" si="1"/>
        <v>#DIV/0!</v>
      </c>
    </row>
    <row r="44" spans="1:8" s="5" customFormat="1" ht="60.75" customHeight="1">
      <c r="A44" s="113" t="s">
        <v>49</v>
      </c>
      <c r="B44" s="205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82">
        <f t="shared" si="0"/>
        <v>0</v>
      </c>
      <c r="H44" s="184" t="e">
        <f t="shared" si="1"/>
        <v>#DIV/0!</v>
      </c>
    </row>
    <row r="45" spans="1:8" s="5" customFormat="1" ht="22.5" customHeight="1" thickBot="1">
      <c r="A45" s="116" t="s">
        <v>50</v>
      </c>
      <c r="B45" s="125">
        <v>2200</v>
      </c>
      <c r="C45" s="126">
        <f>'ІІ. Розр. з бюджетом'!C46</f>
        <v>6007.7</v>
      </c>
      <c r="D45" s="126">
        <f>'ІІ. Розр. з бюджетом'!D46</f>
        <v>7549.3</v>
      </c>
      <c r="E45" s="126">
        <f>'ІІ. Розр. з бюджетом'!E46</f>
        <v>8262</v>
      </c>
      <c r="F45" s="126">
        <f>'ІІ. Розр. з бюджетом'!F46</f>
        <v>7549.3</v>
      </c>
      <c r="G45" s="152">
        <f t="shared" si="0"/>
        <v>-712.69999999999982</v>
      </c>
      <c r="H45" s="161">
        <f t="shared" si="1"/>
        <v>91.373759380295326</v>
      </c>
    </row>
    <row r="46" spans="1:8" s="5" customFormat="1" ht="28.5" customHeight="1" thickBot="1">
      <c r="A46" s="271" t="s">
        <v>51</v>
      </c>
      <c r="B46" s="272"/>
      <c r="C46" s="272"/>
      <c r="D46" s="272"/>
      <c r="E46" s="272"/>
      <c r="F46" s="272"/>
      <c r="G46" s="272"/>
      <c r="H46" s="273"/>
    </row>
    <row r="47" spans="1:8" s="5" customFormat="1" ht="20.100000000000001" customHeight="1" thickBot="1">
      <c r="A47" s="121" t="s">
        <v>52</v>
      </c>
      <c r="B47" s="122">
        <v>4000</v>
      </c>
      <c r="C47" s="123">
        <f>'IV кап.інв. V кред.'!H6</f>
        <v>1604.6999999999998</v>
      </c>
      <c r="D47" s="123">
        <f>'IV кап.інв. V кред.'!J6</f>
        <v>2840</v>
      </c>
      <c r="E47" s="123">
        <f>'IV кап.інв. V кред.'!L6</f>
        <v>1300</v>
      </c>
      <c r="F47" s="123">
        <f>'IV кап.інв. V кред.'!N6</f>
        <v>2840</v>
      </c>
      <c r="G47" s="153">
        <f>F47-E47</f>
        <v>1540</v>
      </c>
      <c r="H47" s="167">
        <f>(F47/E47)*100</f>
        <v>218.46153846153845</v>
      </c>
    </row>
    <row r="48" spans="1:8" s="5" customFormat="1" ht="27" customHeight="1" thickBot="1">
      <c r="A48" s="292" t="s">
        <v>53</v>
      </c>
      <c r="B48" s="293"/>
      <c r="C48" s="293"/>
      <c r="D48" s="293"/>
      <c r="E48" s="293"/>
      <c r="F48" s="293"/>
      <c r="G48" s="293"/>
      <c r="H48" s="294"/>
    </row>
    <row r="49" spans="1:9" s="5" customFormat="1" ht="27" customHeight="1">
      <c r="A49" s="177" t="s">
        <v>54</v>
      </c>
      <c r="B49" s="175"/>
      <c r="C49" s="178"/>
      <c r="D49" s="178"/>
      <c r="E49" s="178"/>
      <c r="F49" s="178"/>
      <c r="G49" s="175"/>
      <c r="H49" s="176"/>
    </row>
    <row r="50" spans="1:9" s="5" customFormat="1" ht="56.25">
      <c r="A50" s="115" t="s">
        <v>55</v>
      </c>
      <c r="B50" s="59">
        <v>5010</v>
      </c>
      <c r="C50" s="194">
        <f>C38/C34</f>
        <v>8.5327181018298837E-2</v>
      </c>
      <c r="D50" s="194">
        <f>D38/D34</f>
        <v>8.2288722097670255E-2</v>
      </c>
      <c r="E50" s="194">
        <f>E38/E34</f>
        <v>8.1829121540312882E-3</v>
      </c>
      <c r="F50" s="194">
        <f>F38/F34</f>
        <v>8.2288722097670255E-2</v>
      </c>
      <c r="G50" s="187" t="s">
        <v>56</v>
      </c>
      <c r="H50" s="188" t="s">
        <v>56</v>
      </c>
      <c r="I50" s="147"/>
    </row>
    <row r="51" spans="1:9" s="5" customFormat="1" ht="93.75">
      <c r="A51" s="115" t="s">
        <v>57</v>
      </c>
      <c r="B51" s="59">
        <v>5011</v>
      </c>
      <c r="C51" s="194">
        <f>'І. Інф. до звіт.'!C81/ABS('І. Інф. до звіт.'!C24+'І. Інф. до звіт.'!C35+'І. Інф. до звіт.'!C58+'І. Інф. до звіт.'!C74)</f>
        <v>6.9839925090293187E-2</v>
      </c>
      <c r="D51" s="194">
        <f>'І. Інф. до звіт.'!D81/ABS('І. Інф. до звіт.'!D24+'І. Інф. до звіт.'!D35+'І. Інф. до звіт.'!D58+'І. Інф. до звіт.'!D74)</f>
        <v>6.4339714313477708E-2</v>
      </c>
      <c r="E51" s="194">
        <f>'І. Інф. до звіт.'!E81/ABS('І. Інф. до звіт.'!E24+'І. Інф. до звіт.'!E35+'І. Інф. до звіт.'!E58+'І. Інф. до звіт.'!E74)</f>
        <v>-3.5105682732392307E-3</v>
      </c>
      <c r="F51" s="194">
        <f>'І. Інф. до звіт.'!F81/ABS('І. Інф. до звіт.'!F24+'І. Інф. до звіт.'!F35+'І. Інф. до звіт.'!F58+'І. Інф. до звіт.'!F74)</f>
        <v>6.4339714313477708E-2</v>
      </c>
      <c r="G51" s="189" t="s">
        <v>56</v>
      </c>
      <c r="H51" s="190" t="s">
        <v>56</v>
      </c>
    </row>
    <row r="52" spans="1:9" s="5" customFormat="1" ht="255.75" customHeight="1">
      <c r="A52" s="198" t="s">
        <v>58</v>
      </c>
      <c r="B52" s="59">
        <v>5012</v>
      </c>
      <c r="C52" s="195"/>
      <c r="D52" s="195"/>
      <c r="E52" s="194"/>
      <c r="F52" s="195"/>
      <c r="G52" s="189" t="s">
        <v>56</v>
      </c>
      <c r="H52" s="190" t="s">
        <v>56</v>
      </c>
    </row>
    <row r="53" spans="1:9" s="5" customFormat="1" ht="59.25" customHeight="1">
      <c r="A53" s="113" t="s">
        <v>59</v>
      </c>
      <c r="B53" s="59">
        <v>5013</v>
      </c>
      <c r="C53" s="194">
        <f>C37/C34</f>
        <v>9.4175657641763583E-2</v>
      </c>
      <c r="D53" s="194">
        <f>D37/D34</f>
        <v>9.431328589531135E-2</v>
      </c>
      <c r="E53" s="194">
        <f>E37/E34</f>
        <v>1.6606498194945848E-2</v>
      </c>
      <c r="F53" s="194">
        <f>F37/F34</f>
        <v>9.431328589531135E-2</v>
      </c>
      <c r="G53" s="189" t="s">
        <v>56</v>
      </c>
      <c r="H53" s="190" t="s">
        <v>56</v>
      </c>
    </row>
    <row r="54" spans="1:9" s="5" customFormat="1" ht="44.25" customHeight="1">
      <c r="A54" s="113" t="s">
        <v>60</v>
      </c>
      <c r="B54" s="199">
        <v>5014</v>
      </c>
      <c r="C54" s="194">
        <f>IF(AND(C38&lt;0,C91&lt;0),C38/C91*-1,C38/C91)</f>
        <v>0.43936641043559393</v>
      </c>
      <c r="D54" s="194">
        <f>IF(AND(D38&lt;0,D91&lt;0),D38/D91*-1,D38/D91)</f>
        <v>0.29429810494610431</v>
      </c>
      <c r="E54" s="194">
        <f>IF(AND(E38&lt;0,E91&lt;0),E38/E91*-1,E38/E91)</f>
        <v>6.8479355488418936E-2</v>
      </c>
      <c r="F54" s="194"/>
      <c r="G54" s="189" t="s">
        <v>56</v>
      </c>
      <c r="H54" s="190" t="s">
        <v>56</v>
      </c>
    </row>
    <row r="55" spans="1:9" s="5" customFormat="1" ht="44.25" customHeight="1">
      <c r="A55" s="115" t="s">
        <v>61</v>
      </c>
      <c r="B55" s="59">
        <v>5015</v>
      </c>
      <c r="C55" s="194">
        <f>(C38/C81)</f>
        <v>0.2816064496864743</v>
      </c>
      <c r="D55" s="194">
        <f>(D38/D81)</f>
        <v>0.19021567690824023</v>
      </c>
      <c r="E55" s="194">
        <f>(E38/E81)</f>
        <v>4.7047970479704798E-2</v>
      </c>
      <c r="F55" s="195"/>
      <c r="G55" s="189" t="s">
        <v>56</v>
      </c>
      <c r="H55" s="190" t="s">
        <v>56</v>
      </c>
    </row>
    <row r="56" spans="1:9" s="5" customFormat="1" ht="150">
      <c r="A56" s="198" t="s">
        <v>62</v>
      </c>
      <c r="B56" s="59">
        <v>5016</v>
      </c>
      <c r="C56" s="195"/>
      <c r="D56" s="195"/>
      <c r="E56" s="194"/>
      <c r="F56" s="195"/>
      <c r="G56" s="189" t="s">
        <v>56</v>
      </c>
      <c r="H56" s="190" t="s">
        <v>56</v>
      </c>
    </row>
    <row r="57" spans="1:9" s="5" customFormat="1">
      <c r="A57" s="179" t="s">
        <v>63</v>
      </c>
      <c r="B57" s="59"/>
      <c r="C57" s="195"/>
      <c r="D57" s="195"/>
      <c r="E57" s="194"/>
      <c r="F57" s="195"/>
      <c r="G57" s="189" t="s">
        <v>56</v>
      </c>
      <c r="H57" s="190" t="s">
        <v>56</v>
      </c>
    </row>
    <row r="58" spans="1:9" s="5" customFormat="1" ht="60" customHeight="1">
      <c r="A58" s="180" t="s">
        <v>64</v>
      </c>
      <c r="B58" s="60">
        <v>5020</v>
      </c>
      <c r="C58" s="194">
        <f>C91/(C82+C84)</f>
        <v>1.7850311850311851</v>
      </c>
      <c r="D58" s="194">
        <f>D91/(D82+D84)</f>
        <v>1.8275484199796124</v>
      </c>
      <c r="E58" s="194">
        <f>E91/(E82+E84)</f>
        <v>2.195283714075166</v>
      </c>
      <c r="F58" s="195"/>
      <c r="G58" s="189" t="s">
        <v>56</v>
      </c>
      <c r="H58" s="190" t="s">
        <v>56</v>
      </c>
    </row>
    <row r="59" spans="1:9" s="5" customFormat="1" ht="37.5">
      <c r="A59" s="113" t="s">
        <v>65</v>
      </c>
      <c r="B59" s="60">
        <v>5021</v>
      </c>
      <c r="C59" s="201" t="e">
        <f>C37/ABS('І. Інф. до звіт.'!C85)</f>
        <v>#VALUE!</v>
      </c>
      <c r="D59" s="201" t="e">
        <f>D37/ABS('І. Інф. до звіт.'!D85)</f>
        <v>#VALUE!</v>
      </c>
      <c r="E59" s="201" t="e">
        <f>E37/ABS('І. Інф. до звіт.'!E85)</f>
        <v>#VALUE!</v>
      </c>
      <c r="F59" s="182" t="e">
        <f>F37/ABS('І. Інф. до звіт.'!F85)</f>
        <v>#VALUE!</v>
      </c>
      <c r="G59" s="189" t="s">
        <v>56</v>
      </c>
      <c r="H59" s="190" t="s">
        <v>56</v>
      </c>
    </row>
    <row r="60" spans="1:9" s="5" customFormat="1" ht="93.75">
      <c r="A60" s="113" t="s">
        <v>66</v>
      </c>
      <c r="B60" s="200">
        <v>5022</v>
      </c>
      <c r="C60" s="201">
        <f>((C85+C83)-(C79+C80))/C37</f>
        <v>-0.2315304063790945</v>
      </c>
      <c r="D60" s="201">
        <f>((D85+D83)-(D79+D80))/D37</f>
        <v>-0.80367109016495175</v>
      </c>
      <c r="E60" s="201">
        <f>((E85+E83)-(E79+E80))/E37</f>
        <v>-2.1086956521739131</v>
      </c>
      <c r="F60" s="194"/>
      <c r="G60" s="189" t="s">
        <v>56</v>
      </c>
      <c r="H60" s="190" t="s">
        <v>56</v>
      </c>
    </row>
    <row r="61" spans="1:9" s="5" customFormat="1" ht="60" customHeight="1">
      <c r="A61" s="113" t="s">
        <v>67</v>
      </c>
      <c r="B61" s="60">
        <v>5023</v>
      </c>
      <c r="C61" s="194">
        <f>(C85+C83)/C91</f>
        <v>0</v>
      </c>
      <c r="D61" s="194">
        <f>(D85+D83)/D91</f>
        <v>0</v>
      </c>
      <c r="E61" s="194">
        <f>(E85+E83)/E91</f>
        <v>0</v>
      </c>
      <c r="F61" s="195"/>
      <c r="G61" s="189" t="s">
        <v>56</v>
      </c>
      <c r="H61" s="190" t="s">
        <v>56</v>
      </c>
    </row>
    <row r="62" spans="1:9" s="5" customFormat="1" ht="60" customHeight="1">
      <c r="A62" s="113" t="s">
        <v>68</v>
      </c>
      <c r="B62" s="60">
        <v>5024</v>
      </c>
      <c r="C62" s="194">
        <f>(C82+C84)/C81</f>
        <v>0.35906240668856376</v>
      </c>
      <c r="D62" s="194">
        <f>(D82+D84)/D81</f>
        <v>0.35366326282299715</v>
      </c>
      <c r="E62" s="194">
        <f>(E82+E84)/E81</f>
        <v>0.31296125461254615</v>
      </c>
      <c r="F62" s="195"/>
      <c r="G62" s="189" t="s">
        <v>56</v>
      </c>
      <c r="H62" s="190" t="s">
        <v>56</v>
      </c>
    </row>
    <row r="63" spans="1:9" s="5" customFormat="1">
      <c r="A63" s="179" t="s">
        <v>69</v>
      </c>
      <c r="B63" s="60"/>
      <c r="C63" s="195"/>
      <c r="D63" s="195"/>
      <c r="E63" s="194"/>
      <c r="F63" s="195"/>
      <c r="G63" s="189" t="s">
        <v>56</v>
      </c>
      <c r="H63" s="190" t="s">
        <v>56</v>
      </c>
    </row>
    <row r="64" spans="1:9" s="5" customFormat="1" ht="56.25">
      <c r="A64" s="113" t="s">
        <v>70</v>
      </c>
      <c r="B64" s="60">
        <v>5030</v>
      </c>
      <c r="C64" s="194">
        <f>C75/C84</f>
        <v>1.4078054298642535</v>
      </c>
      <c r="D64" s="194">
        <f>D75/D84</f>
        <v>1.3373927484085248</v>
      </c>
      <c r="E64" s="194">
        <f>E75/E84</f>
        <v>0.875</v>
      </c>
      <c r="F64" s="195"/>
      <c r="G64" s="189" t="s">
        <v>56</v>
      </c>
      <c r="H64" s="190" t="s">
        <v>56</v>
      </c>
    </row>
    <row r="65" spans="1:8" s="5" customFormat="1" ht="56.25">
      <c r="A65" s="113" t="s">
        <v>71</v>
      </c>
      <c r="B65" s="60">
        <v>5031</v>
      </c>
      <c r="C65" s="194">
        <f>(C75-C76)/C84</f>
        <v>0.27828054298642535</v>
      </c>
      <c r="D65" s="194">
        <f>(D75-D76)/D84</f>
        <v>0.53805701632991976</v>
      </c>
      <c r="E65" s="194">
        <f>(E75-E76)/E84</f>
        <v>0.875</v>
      </c>
      <c r="F65" s="195"/>
      <c r="G65" s="189" t="s">
        <v>56</v>
      </c>
      <c r="H65" s="190" t="s">
        <v>56</v>
      </c>
    </row>
    <row r="66" spans="1:8" s="5" customFormat="1" ht="56.25">
      <c r="A66" s="113" t="s">
        <v>72</v>
      </c>
      <c r="B66" s="60">
        <v>5032</v>
      </c>
      <c r="C66" s="194">
        <f>(C80+C79)/C84</f>
        <v>0.27262443438914025</v>
      </c>
      <c r="D66" s="194">
        <f>(D80+D79)/D84</f>
        <v>0.53805701632991976</v>
      </c>
      <c r="E66" s="194">
        <f>(E80+E79)/E84</f>
        <v>0.77946428571428572</v>
      </c>
      <c r="F66" s="195"/>
      <c r="G66" s="189" t="s">
        <v>56</v>
      </c>
      <c r="H66" s="190" t="s">
        <v>56</v>
      </c>
    </row>
    <row r="67" spans="1:8" s="5" customFormat="1" ht="93.75">
      <c r="A67" s="45" t="s">
        <v>73</v>
      </c>
      <c r="B67" s="60">
        <v>5033</v>
      </c>
      <c r="C67" s="194"/>
      <c r="D67" s="194"/>
      <c r="E67" s="194"/>
      <c r="F67" s="195"/>
      <c r="G67" s="189" t="s">
        <v>56</v>
      </c>
      <c r="H67" s="190" t="s">
        <v>56</v>
      </c>
    </row>
    <row r="68" spans="1:8" s="5" customFormat="1" ht="93.75">
      <c r="A68" s="45" t="s">
        <v>74</v>
      </c>
      <c r="B68" s="209">
        <v>5034</v>
      </c>
      <c r="C68" s="194"/>
      <c r="D68" s="194"/>
      <c r="E68" s="194"/>
      <c r="F68" s="195"/>
      <c r="G68" s="189" t="s">
        <v>56</v>
      </c>
      <c r="H68" s="191" t="s">
        <v>56</v>
      </c>
    </row>
    <row r="69" spans="1:8" s="5" customFormat="1" ht="75.75" thickBot="1">
      <c r="A69" s="181" t="s">
        <v>75</v>
      </c>
      <c r="B69" s="104">
        <v>5040</v>
      </c>
      <c r="C69" s="196"/>
      <c r="D69" s="196"/>
      <c r="E69" s="196"/>
      <c r="F69" s="197"/>
      <c r="G69" s="192" t="s">
        <v>56</v>
      </c>
      <c r="H69" s="193" t="s">
        <v>56</v>
      </c>
    </row>
    <row r="70" spans="1:8" s="5" customFormat="1" ht="30" customHeight="1" thickBot="1">
      <c r="A70" s="289" t="s">
        <v>76</v>
      </c>
      <c r="B70" s="290"/>
      <c r="C70" s="290"/>
      <c r="D70" s="290"/>
      <c r="E70" s="290"/>
      <c r="F70" s="290"/>
      <c r="G70" s="290"/>
      <c r="H70" s="291"/>
    </row>
    <row r="71" spans="1:8" s="5" customFormat="1" ht="20.100000000000001" customHeight="1">
      <c r="A71" s="114" t="s">
        <v>77</v>
      </c>
      <c r="B71" s="103">
        <v>6000</v>
      </c>
      <c r="C71" s="105">
        <v>4209</v>
      </c>
      <c r="D71" s="105">
        <v>6263.3</v>
      </c>
      <c r="E71" s="105">
        <v>3356</v>
      </c>
      <c r="F71" s="168" t="s">
        <v>56</v>
      </c>
      <c r="G71" s="154">
        <f>D71-E71</f>
        <v>2907.3</v>
      </c>
      <c r="H71" s="162">
        <f>(D71/E71)*100</f>
        <v>186.62991656734206</v>
      </c>
    </row>
    <row r="72" spans="1:8" s="5" customFormat="1" ht="20.100000000000001" customHeight="1">
      <c r="A72" s="115" t="s">
        <v>78</v>
      </c>
      <c r="B72" s="59">
        <v>6001</v>
      </c>
      <c r="C72" s="58">
        <f>C73-C74</f>
        <v>3807</v>
      </c>
      <c r="D72" s="58">
        <f>D73-D74</f>
        <v>6263</v>
      </c>
      <c r="E72" s="58">
        <f>E73-E74</f>
        <v>5572</v>
      </c>
      <c r="F72" s="46" t="s">
        <v>56</v>
      </c>
      <c r="G72" s="155">
        <f t="shared" ref="G72:G91" si="2">D72-E72</f>
        <v>691</v>
      </c>
      <c r="H72" s="163">
        <f t="shared" ref="H72:H91" si="3">(D72/E72)*100</f>
        <v>112.40129217516153</v>
      </c>
    </row>
    <row r="73" spans="1:8" s="5" customFormat="1" ht="20.100000000000001" customHeight="1">
      <c r="A73" s="115" t="s">
        <v>79</v>
      </c>
      <c r="B73" s="59">
        <v>6002</v>
      </c>
      <c r="C73" s="55">
        <v>6967</v>
      </c>
      <c r="D73" s="55">
        <v>10188</v>
      </c>
      <c r="E73" s="55">
        <v>8524</v>
      </c>
      <c r="F73" s="46" t="s">
        <v>56</v>
      </c>
      <c r="G73" s="155">
        <f t="shared" si="2"/>
        <v>1664</v>
      </c>
      <c r="H73" s="163">
        <f t="shared" si="3"/>
        <v>119.52135147817926</v>
      </c>
    </row>
    <row r="74" spans="1:8" s="5" customFormat="1" ht="20.100000000000001" customHeight="1">
      <c r="A74" s="115" t="s">
        <v>80</v>
      </c>
      <c r="B74" s="59">
        <v>6003</v>
      </c>
      <c r="C74" s="55">
        <v>3160</v>
      </c>
      <c r="D74" s="55">
        <v>3925</v>
      </c>
      <c r="E74" s="55">
        <v>2952</v>
      </c>
      <c r="F74" s="46" t="s">
        <v>56</v>
      </c>
      <c r="G74" s="155">
        <f t="shared" si="2"/>
        <v>973</v>
      </c>
      <c r="H74" s="163">
        <f t="shared" si="3"/>
        <v>132.96070460704607</v>
      </c>
    </row>
    <row r="75" spans="1:8" s="5" customFormat="1" ht="20.100000000000001" customHeight="1">
      <c r="A75" s="113" t="s">
        <v>81</v>
      </c>
      <c r="B75" s="209">
        <v>6010</v>
      </c>
      <c r="C75" s="55">
        <v>2489</v>
      </c>
      <c r="D75" s="55">
        <v>4832</v>
      </c>
      <c r="E75" s="55">
        <v>980</v>
      </c>
      <c r="F75" s="46" t="s">
        <v>56</v>
      </c>
      <c r="G75" s="155">
        <f t="shared" si="2"/>
        <v>3852</v>
      </c>
      <c r="H75" s="163">
        <f t="shared" si="3"/>
        <v>493.0612244897959</v>
      </c>
    </row>
    <row r="76" spans="1:8" s="5" customFormat="1" ht="21" customHeight="1">
      <c r="A76" s="113" t="s">
        <v>82</v>
      </c>
      <c r="B76" s="209">
        <v>6011</v>
      </c>
      <c r="C76" s="55">
        <v>1997</v>
      </c>
      <c r="D76" s="55">
        <v>2888</v>
      </c>
      <c r="E76" s="55"/>
      <c r="F76" s="46" t="s">
        <v>56</v>
      </c>
      <c r="G76" s="155">
        <f t="shared" si="2"/>
        <v>2888</v>
      </c>
      <c r="H76" s="163" t="e">
        <f t="shared" si="3"/>
        <v>#DIV/0!</v>
      </c>
    </row>
    <row r="77" spans="1:8" s="5" customFormat="1" ht="20.100000000000001" customHeight="1">
      <c r="A77" s="113" t="s">
        <v>83</v>
      </c>
      <c r="B77" s="209">
        <v>6012</v>
      </c>
      <c r="C77" s="55"/>
      <c r="D77" s="55"/>
      <c r="E77" s="55"/>
      <c r="F77" s="46" t="s">
        <v>56</v>
      </c>
      <c r="G77" s="155">
        <f t="shared" si="2"/>
        <v>0</v>
      </c>
      <c r="H77" s="163" t="e">
        <f t="shared" si="3"/>
        <v>#DIV/0!</v>
      </c>
    </row>
    <row r="78" spans="1:8" s="5" customFormat="1">
      <c r="A78" s="113" t="s">
        <v>84</v>
      </c>
      <c r="B78" s="209">
        <v>6013</v>
      </c>
      <c r="C78" s="55">
        <v>10</v>
      </c>
      <c r="D78" s="55"/>
      <c r="E78" s="55"/>
      <c r="F78" s="46" t="s">
        <v>56</v>
      </c>
      <c r="G78" s="155">
        <f t="shared" si="2"/>
        <v>0</v>
      </c>
      <c r="H78" s="163" t="e">
        <f t="shared" si="3"/>
        <v>#DIV/0!</v>
      </c>
    </row>
    <row r="79" spans="1:8" s="5" customFormat="1" ht="20.100000000000001" customHeight="1">
      <c r="A79" s="113" t="s">
        <v>85</v>
      </c>
      <c r="B79" s="209">
        <v>6014</v>
      </c>
      <c r="C79" s="55"/>
      <c r="D79" s="55"/>
      <c r="E79" s="55"/>
      <c r="F79" s="46" t="s">
        <v>56</v>
      </c>
      <c r="G79" s="155">
        <f t="shared" si="2"/>
        <v>0</v>
      </c>
      <c r="H79" s="163" t="e">
        <f t="shared" si="3"/>
        <v>#DIV/0!</v>
      </c>
    </row>
    <row r="80" spans="1:8" s="5" customFormat="1" ht="20.100000000000001" customHeight="1">
      <c r="A80" s="113" t="s">
        <v>86</v>
      </c>
      <c r="B80" s="209">
        <v>6015</v>
      </c>
      <c r="C80" s="55">
        <v>482</v>
      </c>
      <c r="D80" s="55">
        <v>1944</v>
      </c>
      <c r="E80" s="55">
        <v>873</v>
      </c>
      <c r="F80" s="46" t="s">
        <v>56</v>
      </c>
      <c r="G80" s="155">
        <f t="shared" si="2"/>
        <v>1071</v>
      </c>
      <c r="H80" s="163">
        <f t="shared" si="3"/>
        <v>222.68041237113403</v>
      </c>
    </row>
    <row r="81" spans="1:8" s="5" customFormat="1" ht="20.100000000000001" customHeight="1">
      <c r="A81" s="110" t="s">
        <v>87</v>
      </c>
      <c r="B81" s="213">
        <v>6020</v>
      </c>
      <c r="C81" s="63">
        <f>C71+C75</f>
        <v>6698</v>
      </c>
      <c r="D81" s="63">
        <f>D71+D75</f>
        <v>11095.3</v>
      </c>
      <c r="E81" s="145">
        <v>4336</v>
      </c>
      <c r="F81" s="169" t="s">
        <v>56</v>
      </c>
      <c r="G81" s="156">
        <f t="shared" si="2"/>
        <v>6759.2999999999993</v>
      </c>
      <c r="H81" s="164">
        <f t="shared" si="3"/>
        <v>255.88791512915128</v>
      </c>
    </row>
    <row r="82" spans="1:8" s="5" customFormat="1" ht="20.100000000000001" customHeight="1">
      <c r="A82" s="113" t="s">
        <v>88</v>
      </c>
      <c r="B82" s="209">
        <v>6030</v>
      </c>
      <c r="C82" s="55">
        <v>637</v>
      </c>
      <c r="D82" s="55">
        <v>311</v>
      </c>
      <c r="E82" s="55">
        <v>237</v>
      </c>
      <c r="F82" s="46" t="s">
        <v>56</v>
      </c>
      <c r="G82" s="155">
        <f t="shared" si="2"/>
        <v>74</v>
      </c>
      <c r="H82" s="163">
        <f t="shared" si="3"/>
        <v>131.22362869198312</v>
      </c>
    </row>
    <row r="83" spans="1:8" s="5" customFormat="1" ht="20.100000000000001" customHeight="1">
      <c r="A83" s="113" t="s">
        <v>89</v>
      </c>
      <c r="B83" s="209">
        <v>6031</v>
      </c>
      <c r="C83" s="55"/>
      <c r="D83" s="55"/>
      <c r="E83" s="55"/>
      <c r="F83" s="46" t="s">
        <v>56</v>
      </c>
      <c r="G83" s="155">
        <f t="shared" si="2"/>
        <v>0</v>
      </c>
      <c r="H83" s="163" t="e">
        <f t="shared" si="3"/>
        <v>#DIV/0!</v>
      </c>
    </row>
    <row r="84" spans="1:8" s="5" customFormat="1" ht="20.100000000000001" customHeight="1">
      <c r="A84" s="113" t="s">
        <v>90</v>
      </c>
      <c r="B84" s="209">
        <v>6040</v>
      </c>
      <c r="C84" s="186">
        <v>1768</v>
      </c>
      <c r="D84" s="186">
        <v>3613</v>
      </c>
      <c r="E84" s="186">
        <v>1120</v>
      </c>
      <c r="F84" s="46" t="s">
        <v>56</v>
      </c>
      <c r="G84" s="155">
        <f t="shared" si="2"/>
        <v>2493</v>
      </c>
      <c r="H84" s="163">
        <f t="shared" si="3"/>
        <v>322.58928571428572</v>
      </c>
    </row>
    <row r="85" spans="1:8" s="5" customFormat="1" ht="20.100000000000001" customHeight="1">
      <c r="A85" s="113" t="s">
        <v>91</v>
      </c>
      <c r="B85" s="209">
        <v>6041</v>
      </c>
      <c r="C85" s="186"/>
      <c r="D85" s="186"/>
      <c r="E85" s="186"/>
      <c r="F85" s="46" t="s">
        <v>56</v>
      </c>
      <c r="G85" s="155">
        <f>D85-E85</f>
        <v>0</v>
      </c>
      <c r="H85" s="163" t="e">
        <f>(D85/E85)*100</f>
        <v>#DIV/0!</v>
      </c>
    </row>
    <row r="86" spans="1:8" s="5" customFormat="1" ht="20.100000000000001" customHeight="1">
      <c r="A86" s="113" t="s">
        <v>92</v>
      </c>
      <c r="B86" s="209">
        <v>6042</v>
      </c>
      <c r="C86" s="186"/>
      <c r="D86" s="186"/>
      <c r="E86" s="186"/>
      <c r="F86" s="46" t="s">
        <v>56</v>
      </c>
      <c r="G86" s="155">
        <f>D86-E86</f>
        <v>0</v>
      </c>
      <c r="H86" s="163" t="e">
        <f>(D86/E86)*100</f>
        <v>#DIV/0!</v>
      </c>
    </row>
    <row r="87" spans="1:8" s="5" customFormat="1" ht="20.100000000000001" customHeight="1">
      <c r="A87" s="113" t="s">
        <v>93</v>
      </c>
      <c r="B87" s="209">
        <v>6043</v>
      </c>
      <c r="C87" s="186">
        <v>85</v>
      </c>
      <c r="D87" s="186"/>
      <c r="E87" s="186">
        <v>1120</v>
      </c>
      <c r="F87" s="46" t="s">
        <v>56</v>
      </c>
      <c r="G87" s="155">
        <f>D87-E87</f>
        <v>-1120</v>
      </c>
      <c r="H87" s="163">
        <f>(D87/E87)*100</f>
        <v>0</v>
      </c>
    </row>
    <row r="88" spans="1:8" s="5" customFormat="1" ht="20.100000000000001" customHeight="1">
      <c r="A88" s="110" t="s">
        <v>94</v>
      </c>
      <c r="B88" s="213">
        <v>6050</v>
      </c>
      <c r="C88" s="145">
        <f>C82+C84</f>
        <v>2405</v>
      </c>
      <c r="D88" s="145">
        <f t="shared" ref="D88:E88" si="4">D82+D84</f>
        <v>3924</v>
      </c>
      <c r="E88" s="145">
        <f t="shared" si="4"/>
        <v>1357</v>
      </c>
      <c r="F88" s="169" t="s">
        <v>56</v>
      </c>
      <c r="G88" s="156">
        <f>D88-E88</f>
        <v>2567</v>
      </c>
      <c r="H88" s="164">
        <f>(D88/E88)*100</f>
        <v>289.16728076639646</v>
      </c>
    </row>
    <row r="89" spans="1:8" s="5" customFormat="1" ht="20.100000000000001" customHeight="1">
      <c r="A89" s="113" t="s">
        <v>95</v>
      </c>
      <c r="B89" s="209">
        <v>6060</v>
      </c>
      <c r="C89" s="55"/>
      <c r="D89" s="55"/>
      <c r="E89" s="55"/>
      <c r="F89" s="46" t="s">
        <v>56</v>
      </c>
      <c r="G89" s="155">
        <f t="shared" si="2"/>
        <v>0</v>
      </c>
      <c r="H89" s="163" t="e">
        <f t="shared" si="3"/>
        <v>#DIV/0!</v>
      </c>
    </row>
    <row r="90" spans="1:8" s="5" customFormat="1">
      <c r="A90" s="113" t="s">
        <v>96</v>
      </c>
      <c r="B90" s="209">
        <v>6070</v>
      </c>
      <c r="C90" s="55"/>
      <c r="D90" s="55"/>
      <c r="E90" s="55"/>
      <c r="F90" s="46" t="s">
        <v>56</v>
      </c>
      <c r="G90" s="155">
        <f t="shared" si="2"/>
        <v>0</v>
      </c>
      <c r="H90" s="163" t="e">
        <f t="shared" si="3"/>
        <v>#DIV/0!</v>
      </c>
    </row>
    <row r="91" spans="1:8" s="5" customFormat="1" ht="20.100000000000001" customHeight="1" thickBot="1">
      <c r="A91" s="116" t="s">
        <v>97</v>
      </c>
      <c r="B91" s="89">
        <v>6080</v>
      </c>
      <c r="C91" s="90">
        <f>C81-C88</f>
        <v>4293</v>
      </c>
      <c r="D91" s="90">
        <f t="shared" ref="D91:E91" si="5">D81-D88</f>
        <v>7171.2999999999993</v>
      </c>
      <c r="E91" s="90">
        <f t="shared" si="5"/>
        <v>2979</v>
      </c>
      <c r="F91" s="170" t="s">
        <v>56</v>
      </c>
      <c r="G91" s="157">
        <f t="shared" si="2"/>
        <v>4192.2999999999993</v>
      </c>
      <c r="H91" s="165">
        <f t="shared" si="3"/>
        <v>240.72843235985229</v>
      </c>
    </row>
    <row r="92" spans="1:8" s="5" customFormat="1" ht="24" customHeight="1" thickBot="1">
      <c r="A92" s="297" t="s">
        <v>98</v>
      </c>
      <c r="B92" s="298"/>
      <c r="C92" s="298"/>
      <c r="D92" s="298"/>
      <c r="E92" s="298"/>
      <c r="F92" s="298"/>
      <c r="G92" s="298"/>
      <c r="H92" s="299"/>
    </row>
    <row r="93" spans="1:8" s="5" customFormat="1" ht="19.5" customHeight="1">
      <c r="A93" s="117" t="s">
        <v>99</v>
      </c>
      <c r="B93" s="106">
        <v>7000</v>
      </c>
      <c r="C93" s="107"/>
      <c r="D93" s="107"/>
      <c r="E93" s="107"/>
      <c r="F93" s="223">
        <f>'IV кап.інв. V кред.'!C38</f>
        <v>0</v>
      </c>
      <c r="G93" s="150">
        <f>F93-E93</f>
        <v>0</v>
      </c>
      <c r="H93" s="159" t="e">
        <f>(F93/E93)*100</f>
        <v>#DIV/0!</v>
      </c>
    </row>
    <row r="94" spans="1:8" s="5" customFormat="1" ht="20.100000000000001" customHeight="1">
      <c r="A94" s="110" t="s">
        <v>100</v>
      </c>
      <c r="B94" s="88" t="s">
        <v>101</v>
      </c>
      <c r="C94" s="223">
        <f>SUM(C95:C97)</f>
        <v>0</v>
      </c>
      <c r="D94" s="223">
        <f>SUM(D95:D97)</f>
        <v>0</v>
      </c>
      <c r="E94" s="223">
        <f>SUM(E95:E97)</f>
        <v>0</v>
      </c>
      <c r="F94" s="223">
        <f>SUM(F95:F97)</f>
        <v>0</v>
      </c>
      <c r="G94" s="156">
        <f>F94-E94</f>
        <v>0</v>
      </c>
      <c r="H94" s="164" t="e">
        <f>(F94/E94)*100</f>
        <v>#DIV/0!</v>
      </c>
    </row>
    <row r="95" spans="1:8" s="5" customFormat="1" ht="20.100000000000001" customHeight="1">
      <c r="A95" s="113" t="s">
        <v>102</v>
      </c>
      <c r="B95" s="87" t="s">
        <v>103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55">
        <f t="shared" ref="G95:G102" si="6">F95-E95</f>
        <v>0</v>
      </c>
      <c r="H95" s="163" t="e">
        <f t="shared" ref="H95:H102" si="7">(F95/E95)*100</f>
        <v>#DIV/0!</v>
      </c>
    </row>
    <row r="96" spans="1:8" s="5" customFormat="1" ht="20.100000000000001" customHeight="1">
      <c r="A96" s="113" t="s">
        <v>104</v>
      </c>
      <c r="B96" s="87" t="s">
        <v>105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55">
        <f t="shared" si="6"/>
        <v>0</v>
      </c>
      <c r="H96" s="163" t="e">
        <f t="shared" si="7"/>
        <v>#DIV/0!</v>
      </c>
    </row>
    <row r="97" spans="1:8" s="5" customFormat="1" ht="19.5" customHeight="1">
      <c r="A97" s="113" t="s">
        <v>106</v>
      </c>
      <c r="B97" s="87" t="s">
        <v>107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55">
        <f t="shared" si="6"/>
        <v>0</v>
      </c>
      <c r="H97" s="163" t="e">
        <f t="shared" si="7"/>
        <v>#DIV/0!</v>
      </c>
    </row>
    <row r="98" spans="1:8" s="5" customFormat="1" ht="20.100000000000001" customHeight="1">
      <c r="A98" s="110" t="s">
        <v>108</v>
      </c>
      <c r="B98" s="88" t="s">
        <v>109</v>
      </c>
      <c r="C98" s="223">
        <f>SUM(C99:C101)</f>
        <v>0</v>
      </c>
      <c r="D98" s="223">
        <f>SUM(D99:D101)</f>
        <v>0</v>
      </c>
      <c r="E98" s="223">
        <f>SUM(E99:E101)</f>
        <v>0</v>
      </c>
      <c r="F98" s="223">
        <f>SUM(F99:F101)</f>
        <v>0</v>
      </c>
      <c r="G98" s="156">
        <f t="shared" si="6"/>
        <v>0</v>
      </c>
      <c r="H98" s="164" t="e">
        <f t="shared" si="7"/>
        <v>#DIV/0!</v>
      </c>
    </row>
    <row r="99" spans="1:8" s="5" customFormat="1" ht="20.100000000000001" customHeight="1">
      <c r="A99" s="113" t="s">
        <v>102</v>
      </c>
      <c r="B99" s="87" t="s">
        <v>110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55" t="e">
        <f t="shared" si="6"/>
        <v>#VALUE!</v>
      </c>
      <c r="H99" s="163" t="e">
        <f t="shared" si="7"/>
        <v>#VALUE!</v>
      </c>
    </row>
    <row r="100" spans="1:8" s="5" customFormat="1" ht="20.100000000000001" customHeight="1">
      <c r="A100" s="113" t="s">
        <v>104</v>
      </c>
      <c r="B100" s="87" t="s">
        <v>111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55" t="e">
        <f t="shared" si="6"/>
        <v>#VALUE!</v>
      </c>
      <c r="H100" s="163" t="e">
        <f t="shared" si="7"/>
        <v>#VALUE!</v>
      </c>
    </row>
    <row r="101" spans="1:8" s="5" customFormat="1" ht="20.100000000000001" customHeight="1">
      <c r="A101" s="113" t="s">
        <v>106</v>
      </c>
      <c r="B101" s="87" t="s">
        <v>112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55" t="e">
        <f t="shared" si="6"/>
        <v>#VALUE!</v>
      </c>
      <c r="H101" s="163" t="e">
        <f t="shared" si="7"/>
        <v>#VALUE!</v>
      </c>
    </row>
    <row r="102" spans="1:8" s="5" customFormat="1" ht="19.5" customHeight="1" thickBot="1">
      <c r="A102" s="118" t="s">
        <v>113</v>
      </c>
      <c r="B102" s="89">
        <v>7030</v>
      </c>
      <c r="C102" s="90"/>
      <c r="D102" s="90"/>
      <c r="E102" s="90"/>
      <c r="F102" s="171">
        <f>'IV кап.інв. V кред.'!R38</f>
        <v>0</v>
      </c>
      <c r="G102" s="157">
        <f t="shared" si="6"/>
        <v>0</v>
      </c>
      <c r="H102" s="165" t="e">
        <f t="shared" si="7"/>
        <v>#DIV/0!</v>
      </c>
    </row>
    <row r="103" spans="1:8" s="5" customFormat="1" ht="27" customHeight="1" thickBot="1">
      <c r="A103" s="289" t="s">
        <v>114</v>
      </c>
      <c r="B103" s="290"/>
      <c r="C103" s="290"/>
      <c r="D103" s="290"/>
      <c r="E103" s="290"/>
      <c r="F103" s="290"/>
      <c r="G103" s="290"/>
      <c r="H103" s="291"/>
    </row>
    <row r="104" spans="1:8" s="5" customFormat="1" ht="63.75" customHeight="1">
      <c r="A104" s="119" t="s">
        <v>115</v>
      </c>
      <c r="B104" s="102" t="s">
        <v>116</v>
      </c>
      <c r="C104" s="150">
        <f>SUM(C105:C109)</f>
        <v>57</v>
      </c>
      <c r="D104" s="150">
        <f>SUM(D105:D109)</f>
        <v>57</v>
      </c>
      <c r="E104" s="150">
        <f>SUM(E105:E109)</f>
        <v>60</v>
      </c>
      <c r="F104" s="150">
        <f>SUM(F105:F109)</f>
        <v>57</v>
      </c>
      <c r="G104" s="150">
        <f>F104-E104</f>
        <v>-3</v>
      </c>
      <c r="H104" s="159">
        <f>(F104/E104)*100</f>
        <v>95</v>
      </c>
    </row>
    <row r="105" spans="1:8" s="5" customFormat="1" ht="18.75" customHeight="1">
      <c r="A105" s="113" t="s">
        <v>117</v>
      </c>
      <c r="B105" s="61" t="s">
        <v>118</v>
      </c>
      <c r="C105" s="148"/>
      <c r="D105" s="148"/>
      <c r="E105" s="148"/>
      <c r="F105" s="148"/>
      <c r="G105" s="155">
        <f t="shared" ref="G105:G124" si="8">F105-E105</f>
        <v>0</v>
      </c>
      <c r="H105" s="163" t="e">
        <f t="shared" ref="H105:H124" si="9">(F105/E105)*100</f>
        <v>#DIV/0!</v>
      </c>
    </row>
    <row r="106" spans="1:8" s="5" customFormat="1" ht="18.75" customHeight="1">
      <c r="A106" s="113" t="s">
        <v>119</v>
      </c>
      <c r="B106" s="61" t="s">
        <v>120</v>
      </c>
      <c r="C106" s="148"/>
      <c r="D106" s="148"/>
      <c r="E106" s="148"/>
      <c r="F106" s="148"/>
      <c r="G106" s="155">
        <f t="shared" si="8"/>
        <v>0</v>
      </c>
      <c r="H106" s="163" t="e">
        <f t="shared" si="9"/>
        <v>#DIV/0!</v>
      </c>
    </row>
    <row r="107" spans="1:8" s="5" customFormat="1">
      <c r="A107" s="111" t="s">
        <v>121</v>
      </c>
      <c r="B107" s="61" t="s">
        <v>122</v>
      </c>
      <c r="C107" s="148">
        <v>1</v>
      </c>
      <c r="D107" s="148">
        <v>1</v>
      </c>
      <c r="E107" s="148">
        <v>1</v>
      </c>
      <c r="F107" s="148">
        <v>1</v>
      </c>
      <c r="G107" s="155">
        <f t="shared" si="8"/>
        <v>0</v>
      </c>
      <c r="H107" s="163">
        <f t="shared" si="9"/>
        <v>100</v>
      </c>
    </row>
    <row r="108" spans="1:8" s="5" customFormat="1">
      <c r="A108" s="111" t="s">
        <v>123</v>
      </c>
      <c r="B108" s="61" t="s">
        <v>124</v>
      </c>
      <c r="C108" s="148">
        <v>10</v>
      </c>
      <c r="D108" s="148">
        <v>9</v>
      </c>
      <c r="E108" s="148">
        <v>10</v>
      </c>
      <c r="F108" s="148">
        <v>9</v>
      </c>
      <c r="G108" s="155">
        <f t="shared" si="8"/>
        <v>-1</v>
      </c>
      <c r="H108" s="163">
        <f t="shared" si="9"/>
        <v>90</v>
      </c>
    </row>
    <row r="109" spans="1:8" s="5" customFormat="1">
      <c r="A109" s="111" t="s">
        <v>125</v>
      </c>
      <c r="B109" s="61" t="s">
        <v>126</v>
      </c>
      <c r="C109" s="148">
        <v>46</v>
      </c>
      <c r="D109" s="148">
        <v>47</v>
      </c>
      <c r="E109" s="148">
        <v>49</v>
      </c>
      <c r="F109" s="148">
        <v>47</v>
      </c>
      <c r="G109" s="155">
        <f t="shared" si="8"/>
        <v>-2</v>
      </c>
      <c r="H109" s="163">
        <f t="shared" si="9"/>
        <v>95.918367346938766</v>
      </c>
    </row>
    <row r="110" spans="1:8" s="5" customFormat="1" ht="20.100000000000001" customHeight="1">
      <c r="A110" s="110" t="s">
        <v>127</v>
      </c>
      <c r="B110" s="86" t="s">
        <v>128</v>
      </c>
      <c r="C110" s="202">
        <f>SUM(C111:C115)</f>
        <v>14819</v>
      </c>
      <c r="D110" s="202">
        <f>SUM(D111:D115)</f>
        <v>17080</v>
      </c>
      <c r="E110" s="259">
        <f>SUM(E111:E115)</f>
        <v>18350</v>
      </c>
      <c r="F110" s="202">
        <f>SUM(F111:F115)</f>
        <v>17080</v>
      </c>
      <c r="G110" s="156">
        <f t="shared" si="8"/>
        <v>-1270</v>
      </c>
      <c r="H110" s="164">
        <f t="shared" si="9"/>
        <v>93.079019073569484</v>
      </c>
    </row>
    <row r="111" spans="1:8" s="5" customFormat="1" ht="20.100000000000001" customHeight="1">
      <c r="A111" s="113" t="s">
        <v>117</v>
      </c>
      <c r="B111" s="61" t="s">
        <v>129</v>
      </c>
      <c r="C111" s="148"/>
      <c r="D111" s="148"/>
      <c r="E111" s="148"/>
      <c r="F111" s="148"/>
      <c r="G111" s="155">
        <f t="shared" si="8"/>
        <v>0</v>
      </c>
      <c r="H111" s="163" t="e">
        <f t="shared" si="9"/>
        <v>#DIV/0!</v>
      </c>
    </row>
    <row r="112" spans="1:8" s="5" customFormat="1" ht="20.100000000000001" customHeight="1">
      <c r="A112" s="113" t="s">
        <v>119</v>
      </c>
      <c r="B112" s="61" t="s">
        <v>130</v>
      </c>
      <c r="C112" s="148"/>
      <c r="D112" s="148"/>
      <c r="E112" s="148"/>
      <c r="F112" s="148"/>
      <c r="G112" s="155">
        <f t="shared" si="8"/>
        <v>0</v>
      </c>
      <c r="H112" s="163" t="e">
        <f t="shared" si="9"/>
        <v>#DIV/0!</v>
      </c>
    </row>
    <row r="113" spans="1:9" s="5" customFormat="1" ht="20.100000000000001" customHeight="1">
      <c r="A113" s="113" t="s">
        <v>121</v>
      </c>
      <c r="B113" s="61" t="s">
        <v>131</v>
      </c>
      <c r="C113" s="148">
        <v>907</v>
      </c>
      <c r="D113" s="148">
        <f>239.9+229+261+284</f>
        <v>1013.9</v>
      </c>
      <c r="E113" s="148">
        <v>564</v>
      </c>
      <c r="F113" s="148">
        <f>239.9+229+261+284</f>
        <v>1013.9</v>
      </c>
      <c r="G113" s="155" t="e">
        <f>#REF!-F113</f>
        <v>#REF!</v>
      </c>
      <c r="H113" s="163" t="e">
        <f>(#REF!/F113)*100</f>
        <v>#REF!</v>
      </c>
    </row>
    <row r="114" spans="1:9" s="5" customFormat="1" ht="20.100000000000001" customHeight="1">
      <c r="A114" s="113" t="s">
        <v>123</v>
      </c>
      <c r="B114" s="61" t="s">
        <v>132</v>
      </c>
      <c r="C114" s="148">
        <v>2200</v>
      </c>
      <c r="D114" s="148">
        <f>601.3+687+837+659</f>
        <v>2784.3</v>
      </c>
      <c r="E114" s="148">
        <v>2636</v>
      </c>
      <c r="F114" s="148">
        <f>601.3+687+837+659</f>
        <v>2784.3</v>
      </c>
      <c r="G114" s="155" t="e">
        <f>#REF!-F114</f>
        <v>#REF!</v>
      </c>
      <c r="H114" s="163" t="e">
        <f>(#REF!/F114)*100</f>
        <v>#REF!</v>
      </c>
    </row>
    <row r="115" spans="1:9" s="5" customFormat="1" ht="20.100000000000001" customHeight="1">
      <c r="A115" s="113" t="s">
        <v>125</v>
      </c>
      <c r="B115" s="61" t="s">
        <v>133</v>
      </c>
      <c r="C115" s="260">
        <v>11712</v>
      </c>
      <c r="D115" s="148">
        <f>2823.8+3238+3524+3696</f>
        <v>13281.8</v>
      </c>
      <c r="E115" s="148">
        <v>15150</v>
      </c>
      <c r="F115" s="148">
        <f>2823.8+3238+3524+3696</f>
        <v>13281.8</v>
      </c>
      <c r="G115" s="155" t="e">
        <f>#REF!-F115</f>
        <v>#REF!</v>
      </c>
      <c r="H115" s="163" t="e">
        <f>(#REF!/F115)*100</f>
        <v>#REF!</v>
      </c>
    </row>
    <row r="116" spans="1:9" s="5" customFormat="1" ht="43.5" customHeight="1">
      <c r="A116" s="110" t="s">
        <v>134</v>
      </c>
      <c r="B116" s="86" t="s">
        <v>135</v>
      </c>
      <c r="C116" s="259">
        <f>C110/C104/12*1000</f>
        <v>21665.204678362574</v>
      </c>
      <c r="D116" s="151">
        <f>D110/D104/12*1000</f>
        <v>24970.760233918129</v>
      </c>
      <c r="E116" s="151">
        <f>E110/E104/12*1000</f>
        <v>25486.111111111109</v>
      </c>
      <c r="F116" s="259">
        <f>F110/F104/12*1000</f>
        <v>24970.760233918129</v>
      </c>
      <c r="G116" s="156">
        <f t="shared" si="8"/>
        <v>-515.35087719298099</v>
      </c>
      <c r="H116" s="164">
        <f t="shared" si="9"/>
        <v>97.977914814283679</v>
      </c>
    </row>
    <row r="117" spans="1:9" s="5" customFormat="1" ht="20.100000000000001" customHeight="1">
      <c r="A117" s="113" t="s">
        <v>136</v>
      </c>
      <c r="B117" s="61" t="s">
        <v>137</v>
      </c>
      <c r="C117" s="182" t="e">
        <f t="shared" ref="C117:F118" si="10">C111/C105/12*1000</f>
        <v>#DIV/0!</v>
      </c>
      <c r="D117" s="182" t="e">
        <f t="shared" si="10"/>
        <v>#DIV/0!</v>
      </c>
      <c r="E117" s="182" t="s">
        <v>434</v>
      </c>
      <c r="F117" s="182" t="e">
        <f t="shared" si="10"/>
        <v>#DIV/0!</v>
      </c>
      <c r="G117" s="155" t="e">
        <f t="shared" si="8"/>
        <v>#DIV/0!</v>
      </c>
      <c r="H117" s="163" t="e">
        <f t="shared" si="9"/>
        <v>#DIV/0!</v>
      </c>
    </row>
    <row r="118" spans="1:9" s="5" customFormat="1" ht="20.100000000000001" customHeight="1">
      <c r="A118" s="113" t="s">
        <v>138</v>
      </c>
      <c r="B118" s="61" t="s">
        <v>139</v>
      </c>
      <c r="C118" s="182" t="e">
        <f t="shared" si="10"/>
        <v>#DIV/0!</v>
      </c>
      <c r="D118" s="182" t="e">
        <f t="shared" si="10"/>
        <v>#DIV/0!</v>
      </c>
      <c r="E118" s="182" t="e">
        <f t="shared" si="10"/>
        <v>#DIV/0!</v>
      </c>
      <c r="F118" s="182" t="e">
        <f t="shared" si="10"/>
        <v>#DIV/0!</v>
      </c>
      <c r="G118" s="155" t="e">
        <f t="shared" si="8"/>
        <v>#DIV/0!</v>
      </c>
      <c r="H118" s="163" t="e">
        <f t="shared" si="9"/>
        <v>#DIV/0!</v>
      </c>
    </row>
    <row r="119" spans="1:9" s="5" customFormat="1" ht="20.100000000000001" customHeight="1">
      <c r="A119" s="111" t="s">
        <v>121</v>
      </c>
      <c r="B119" s="61" t="s">
        <v>140</v>
      </c>
      <c r="C119" s="182">
        <f>SUM(C120:C122)</f>
        <v>75625</v>
      </c>
      <c r="D119" s="182">
        <f>SUM(D120:D122)</f>
        <v>84500</v>
      </c>
      <c r="E119" s="182">
        <f>SUM(E120:E122)</f>
        <v>47020</v>
      </c>
      <c r="F119" s="182">
        <f>SUM(F120:F122)</f>
        <v>84500</v>
      </c>
      <c r="G119" s="155">
        <f t="shared" si="8"/>
        <v>37480</v>
      </c>
      <c r="H119" s="163">
        <f t="shared" si="9"/>
        <v>179.71076137813697</v>
      </c>
    </row>
    <row r="120" spans="1:9" s="136" customFormat="1" ht="20.100000000000001" customHeight="1">
      <c r="A120" s="134" t="s">
        <v>141</v>
      </c>
      <c r="B120" s="135" t="s">
        <v>142</v>
      </c>
      <c r="C120" s="149">
        <v>35784</v>
      </c>
      <c r="D120" s="149">
        <v>41600</v>
      </c>
      <c r="E120" s="149">
        <v>40320</v>
      </c>
      <c r="F120" s="149">
        <v>41600</v>
      </c>
      <c r="G120" s="155">
        <f>F120-E120</f>
        <v>1280</v>
      </c>
      <c r="H120" s="163">
        <f>(F120/E120)*100</f>
        <v>103.17460317460319</v>
      </c>
    </row>
    <row r="121" spans="1:9" s="136" customFormat="1" ht="20.100000000000001" customHeight="1">
      <c r="A121" s="134" t="s">
        <v>143</v>
      </c>
      <c r="B121" s="135" t="s">
        <v>144</v>
      </c>
      <c r="C121" s="149">
        <v>19920.5</v>
      </c>
      <c r="D121" s="149">
        <v>21450</v>
      </c>
      <c r="E121" s="149"/>
      <c r="F121" s="149">
        <v>21450</v>
      </c>
      <c r="G121" s="155">
        <f>F121-E121</f>
        <v>21450</v>
      </c>
      <c r="H121" s="163" t="e">
        <f>(F121/E121)*100</f>
        <v>#DIV/0!</v>
      </c>
    </row>
    <row r="122" spans="1:9" s="136" customFormat="1" ht="20.100000000000001" customHeight="1">
      <c r="A122" s="134" t="s">
        <v>145</v>
      </c>
      <c r="B122" s="135" t="s">
        <v>146</v>
      </c>
      <c r="C122" s="149">
        <v>19920.5</v>
      </c>
      <c r="D122" s="149">
        <v>21450</v>
      </c>
      <c r="E122" s="149">
        <v>6700</v>
      </c>
      <c r="F122" s="149">
        <v>21450</v>
      </c>
      <c r="G122" s="155">
        <f>F122-E122</f>
        <v>14750</v>
      </c>
      <c r="H122" s="163">
        <f>(F122/E122)*100</f>
        <v>320.14925373134326</v>
      </c>
    </row>
    <row r="123" spans="1:9" s="5" customFormat="1" ht="20.100000000000001" customHeight="1">
      <c r="A123" s="111" t="s">
        <v>147</v>
      </c>
      <c r="B123" s="61" t="s">
        <v>148</v>
      </c>
      <c r="C123" s="182">
        <f t="shared" ref="C123:F124" si="11">C114/C108/12*1000</f>
        <v>18333.333333333332</v>
      </c>
      <c r="D123" s="182">
        <f t="shared" si="11"/>
        <v>25780.555555555555</v>
      </c>
      <c r="E123" s="182">
        <f t="shared" si="11"/>
        <v>21966.666666666668</v>
      </c>
      <c r="F123" s="182">
        <f t="shared" si="11"/>
        <v>25780.555555555555</v>
      </c>
      <c r="G123" s="155">
        <f t="shared" si="8"/>
        <v>3813.8888888888869</v>
      </c>
      <c r="H123" s="163">
        <f t="shared" si="9"/>
        <v>117.36216489630753</v>
      </c>
    </row>
    <row r="124" spans="1:9" s="5" customFormat="1" ht="20.100000000000001" customHeight="1" thickBot="1">
      <c r="A124" s="120" t="s">
        <v>149</v>
      </c>
      <c r="B124" s="91" t="s">
        <v>150</v>
      </c>
      <c r="C124" s="183">
        <f t="shared" si="11"/>
        <v>21217.391304347824</v>
      </c>
      <c r="D124" s="183">
        <f t="shared" si="11"/>
        <v>23549.290780141841</v>
      </c>
      <c r="E124" s="183">
        <f t="shared" si="11"/>
        <v>25765.306122448979</v>
      </c>
      <c r="F124" s="183">
        <f t="shared" si="11"/>
        <v>23549.290780141841</v>
      </c>
      <c r="G124" s="158">
        <f t="shared" si="8"/>
        <v>-2216.0153423071388</v>
      </c>
      <c r="H124" s="166">
        <f t="shared" si="9"/>
        <v>91.399227582332685</v>
      </c>
    </row>
    <row r="125" spans="1:9" s="5" customFormat="1" ht="20.100000000000001" customHeight="1">
      <c r="A125" s="296" t="s">
        <v>151</v>
      </c>
      <c r="B125" s="296"/>
      <c r="C125" s="296"/>
      <c r="D125" s="296"/>
      <c r="E125" s="296"/>
      <c r="F125" s="296"/>
      <c r="G125" s="296"/>
      <c r="H125" s="296"/>
    </row>
    <row r="126" spans="1:9" s="5" customFormat="1" ht="20.100000000000001" customHeight="1">
      <c r="A126" s="207"/>
      <c r="B126" s="72"/>
      <c r="C126" s="73"/>
      <c r="D126" s="73"/>
      <c r="E126" s="74"/>
      <c r="F126" s="74"/>
      <c r="G126" s="74"/>
      <c r="H126" s="75"/>
    </row>
    <row r="127" spans="1:9">
      <c r="A127" s="37"/>
      <c r="B127" s="208"/>
      <c r="C127" s="208"/>
      <c r="D127" s="257"/>
      <c r="E127" s="208"/>
      <c r="F127" s="208"/>
      <c r="G127" s="208"/>
      <c r="H127" s="208"/>
      <c r="I127" s="229"/>
    </row>
    <row r="128" spans="1:9" ht="18.75" customHeight="1">
      <c r="A128" s="235" t="s">
        <v>412</v>
      </c>
      <c r="B128" s="1"/>
      <c r="C128" s="295" t="s">
        <v>152</v>
      </c>
      <c r="D128" s="295"/>
      <c r="E128" s="295"/>
      <c r="F128" s="295"/>
      <c r="G128" s="288" t="s">
        <v>413</v>
      </c>
      <c r="H128" s="288"/>
      <c r="I128" s="288"/>
    </row>
    <row r="129" spans="1:9" s="2" customFormat="1" ht="20.100000000000001" customHeight="1">
      <c r="A129" s="214" t="s">
        <v>154</v>
      </c>
      <c r="B129" s="229"/>
      <c r="C129" s="268" t="s">
        <v>155</v>
      </c>
      <c r="D129" s="268"/>
      <c r="E129" s="268"/>
      <c r="F129" s="268"/>
      <c r="G129" s="288"/>
      <c r="H129" s="288"/>
      <c r="I129" s="288"/>
    </row>
    <row r="130" spans="1:9">
      <c r="A130" s="37"/>
      <c r="B130" s="208"/>
      <c r="C130" s="208"/>
      <c r="D130" s="208"/>
      <c r="E130" s="208"/>
      <c r="F130" s="208"/>
      <c r="G130" s="208"/>
      <c r="H130" s="208"/>
      <c r="I130" s="229"/>
    </row>
    <row r="131" spans="1:9">
      <c r="A131" s="37"/>
      <c r="B131" s="208"/>
      <c r="C131" s="208"/>
      <c r="D131" s="208"/>
      <c r="E131" s="208"/>
      <c r="F131" s="208"/>
      <c r="G131" s="208"/>
      <c r="H131" s="208"/>
      <c r="I131" s="229"/>
    </row>
    <row r="132" spans="1:9">
      <c r="A132" s="37"/>
      <c r="B132" s="208"/>
      <c r="C132" s="208"/>
      <c r="D132" s="208"/>
      <c r="E132" s="208"/>
      <c r="F132" s="208"/>
      <c r="G132" s="208"/>
      <c r="H132" s="208"/>
      <c r="I132" s="229"/>
    </row>
    <row r="133" spans="1:9">
      <c r="A133" s="37"/>
      <c r="B133" s="208"/>
      <c r="C133" s="208"/>
      <c r="D133" s="208"/>
      <c r="E133" s="208"/>
      <c r="F133" s="208"/>
      <c r="G133" s="208"/>
      <c r="H133" s="208"/>
      <c r="I133" s="229"/>
    </row>
    <row r="134" spans="1:9">
      <c r="A134" s="37"/>
      <c r="B134" s="208"/>
      <c r="C134" s="208"/>
      <c r="D134" s="208"/>
      <c r="E134" s="208"/>
      <c r="F134" s="208"/>
      <c r="G134" s="208"/>
      <c r="H134" s="208"/>
      <c r="I134" s="229"/>
    </row>
    <row r="135" spans="1:9">
      <c r="A135" s="37"/>
      <c r="B135" s="208"/>
      <c r="C135" s="208"/>
      <c r="D135" s="208"/>
      <c r="E135" s="208"/>
      <c r="F135" s="208"/>
      <c r="G135" s="208"/>
      <c r="H135" s="208"/>
      <c r="I135" s="229"/>
    </row>
    <row r="136" spans="1:9">
      <c r="A136" s="37"/>
      <c r="B136" s="208"/>
      <c r="C136" s="208"/>
      <c r="D136" s="208"/>
      <c r="E136" s="208"/>
      <c r="F136" s="208"/>
      <c r="G136" s="208"/>
      <c r="H136" s="208"/>
      <c r="I136" s="229"/>
    </row>
    <row r="137" spans="1:9">
      <c r="A137" s="37"/>
      <c r="B137" s="208"/>
      <c r="C137" s="208"/>
      <c r="D137" s="208"/>
      <c r="E137" s="208"/>
      <c r="F137" s="208"/>
      <c r="G137" s="208"/>
      <c r="H137" s="208"/>
      <c r="I137" s="229"/>
    </row>
    <row r="138" spans="1:9">
      <c r="A138" s="37"/>
      <c r="B138" s="208"/>
      <c r="C138" s="208"/>
      <c r="D138" s="208"/>
      <c r="E138" s="208"/>
      <c r="F138" s="208"/>
      <c r="G138" s="208"/>
      <c r="H138" s="208"/>
      <c r="I138" s="229"/>
    </row>
    <row r="139" spans="1:9">
      <c r="A139" s="37"/>
      <c r="B139" s="208"/>
      <c r="C139" s="208"/>
      <c r="D139" s="208"/>
      <c r="E139" s="208"/>
      <c r="F139" s="208"/>
      <c r="G139" s="208"/>
      <c r="H139" s="208"/>
      <c r="I139" s="229"/>
    </row>
    <row r="140" spans="1:9">
      <c r="A140" s="37"/>
      <c r="B140" s="208"/>
      <c r="C140" s="208"/>
      <c r="D140" s="208"/>
      <c r="E140" s="208"/>
      <c r="F140" s="208"/>
      <c r="G140" s="208"/>
      <c r="H140" s="208"/>
      <c r="I140" s="229"/>
    </row>
    <row r="141" spans="1:9">
      <c r="A141" s="37"/>
      <c r="B141" s="208"/>
      <c r="C141" s="208"/>
      <c r="D141" s="208"/>
      <c r="E141" s="208"/>
      <c r="F141" s="208"/>
      <c r="G141" s="208"/>
      <c r="H141" s="208"/>
      <c r="I141" s="229"/>
    </row>
    <row r="142" spans="1:9">
      <c r="A142" s="37"/>
      <c r="B142" s="208"/>
      <c r="C142" s="208"/>
      <c r="D142" s="208"/>
      <c r="E142" s="208"/>
      <c r="F142" s="208"/>
      <c r="G142" s="208"/>
      <c r="H142" s="208"/>
      <c r="I142" s="229"/>
    </row>
    <row r="143" spans="1:9">
      <c r="A143" s="37"/>
      <c r="B143" s="208"/>
      <c r="C143" s="208"/>
      <c r="D143" s="208"/>
      <c r="E143" s="208"/>
      <c r="F143" s="208"/>
      <c r="G143" s="208"/>
      <c r="H143" s="208"/>
      <c r="I143" s="229"/>
    </row>
    <row r="144" spans="1:9">
      <c r="A144" s="37"/>
      <c r="B144" s="208"/>
      <c r="C144" s="208"/>
      <c r="D144" s="208"/>
      <c r="E144" s="208"/>
      <c r="F144" s="208"/>
      <c r="G144" s="208"/>
      <c r="H144" s="208"/>
      <c r="I144" s="229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2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</sheetData>
  <mergeCells count="36"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F20:G20"/>
    <mergeCell ref="E9:F9"/>
    <mergeCell ref="G9:H9"/>
    <mergeCell ref="B10:D10"/>
    <mergeCell ref="B11:D11"/>
    <mergeCell ref="B12:D12"/>
    <mergeCell ref="A25:H25"/>
    <mergeCell ref="A30:A31"/>
    <mergeCell ref="B18:H18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3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7" man="1"/>
    <brk id="62" max="7" man="1"/>
    <brk id="102" max="7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Q342"/>
  <sheetViews>
    <sheetView tabSelected="1" topLeftCell="A66" zoomScale="64" zoomScaleNormal="64" zoomScaleSheetLayoutView="50" workbookViewId="0">
      <selection activeCell="I69" sqref="I69:N69"/>
    </sheetView>
  </sheetViews>
  <sheetFormatPr defaultRowHeight="18.75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5" width="19.7109375" style="245" customWidth="1"/>
    <col min="16" max="16" width="12.140625" style="3" customWidth="1"/>
    <col min="17" max="17" width="10.5703125" style="3" bestFit="1" customWidth="1"/>
    <col min="18" max="16384" width="9.140625" style="3"/>
  </cols>
  <sheetData>
    <row r="1" spans="1:15">
      <c r="A1" s="274" t="s">
        <v>156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43"/>
    </row>
    <row r="2" spans="1:15" ht="16.5" customHeight="1">
      <c r="A2" s="274" t="s">
        <v>436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43"/>
    </row>
    <row r="3" spans="1:15" ht="16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43"/>
    </row>
    <row r="4" spans="1:15">
      <c r="A4" s="306" t="s">
        <v>157</v>
      </c>
      <c r="B4" s="306"/>
      <c r="C4" s="306"/>
      <c r="D4" s="306"/>
      <c r="E4" s="306"/>
      <c r="F4" s="306"/>
      <c r="G4" s="306"/>
      <c r="H4" s="306"/>
      <c r="I4" s="306"/>
      <c r="J4" s="229"/>
      <c r="K4" s="229"/>
      <c r="L4" s="229"/>
      <c r="M4" s="229"/>
      <c r="N4" s="229"/>
    </row>
    <row r="5" spans="1:15" ht="30.75" customHeight="1">
      <c r="A5" s="209" t="s">
        <v>158</v>
      </c>
      <c r="B5" s="302" t="s">
        <v>159</v>
      </c>
      <c r="C5" s="302"/>
      <c r="D5" s="302"/>
      <c r="E5" s="302"/>
      <c r="F5" s="302"/>
      <c r="G5" s="302"/>
      <c r="H5" s="311" t="s">
        <v>160</v>
      </c>
      <c r="I5" s="311"/>
      <c r="J5" s="311"/>
      <c r="K5" s="311"/>
      <c r="L5" s="311"/>
      <c r="M5" s="311"/>
      <c r="N5" s="311"/>
      <c r="O5" s="40"/>
    </row>
    <row r="6" spans="1:15">
      <c r="A6" s="209">
        <v>1</v>
      </c>
      <c r="B6" s="302">
        <v>2</v>
      </c>
      <c r="C6" s="302"/>
      <c r="D6" s="302"/>
      <c r="E6" s="302"/>
      <c r="F6" s="302"/>
      <c r="G6" s="302"/>
      <c r="H6" s="302">
        <v>3</v>
      </c>
      <c r="I6" s="302"/>
      <c r="J6" s="302"/>
      <c r="K6" s="302"/>
      <c r="L6" s="302"/>
      <c r="M6" s="302"/>
      <c r="N6" s="302"/>
      <c r="O6" s="242"/>
    </row>
    <row r="7" spans="1:15">
      <c r="A7" s="209">
        <v>5480631</v>
      </c>
      <c r="B7" s="312" t="s">
        <v>418</v>
      </c>
      <c r="C7" s="313"/>
      <c r="D7" s="313"/>
      <c r="E7" s="313"/>
      <c r="F7" s="313"/>
      <c r="G7" s="314"/>
      <c r="H7" s="312" t="s">
        <v>422</v>
      </c>
      <c r="I7" s="313"/>
      <c r="J7" s="313"/>
      <c r="K7" s="313"/>
      <c r="L7" s="313"/>
      <c r="M7" s="313"/>
      <c r="N7" s="314"/>
      <c r="O7" s="242"/>
    </row>
    <row r="8" spans="1:15">
      <c r="A8" s="212"/>
      <c r="B8" s="308"/>
      <c r="C8" s="308"/>
      <c r="D8" s="308"/>
      <c r="E8" s="308"/>
      <c r="F8" s="308"/>
      <c r="G8" s="308"/>
      <c r="H8" s="304"/>
      <c r="I8" s="304"/>
      <c r="J8" s="304"/>
      <c r="K8" s="304"/>
      <c r="L8" s="304"/>
      <c r="M8" s="304"/>
      <c r="N8" s="304"/>
      <c r="O8" s="247"/>
    </row>
    <row r="9" spans="1:15" ht="17.25" customHeight="1">
      <c r="A9" s="229"/>
      <c r="B9" s="208"/>
      <c r="C9" s="208"/>
      <c r="D9" s="208"/>
      <c r="E9" s="208"/>
      <c r="F9" s="208"/>
      <c r="G9" s="208"/>
      <c r="H9" s="208"/>
      <c r="I9" s="208"/>
      <c r="J9" s="229"/>
      <c r="K9" s="229"/>
      <c r="L9" s="229"/>
      <c r="M9" s="229"/>
      <c r="N9" s="229"/>
    </row>
    <row r="10" spans="1:15">
      <c r="A10" s="306" t="s">
        <v>161</v>
      </c>
      <c r="B10" s="306"/>
      <c r="C10" s="306"/>
      <c r="D10" s="306"/>
      <c r="E10" s="306"/>
      <c r="F10" s="306"/>
      <c r="G10" s="306"/>
      <c r="H10" s="306"/>
      <c r="I10" s="306"/>
      <c r="J10" s="229"/>
      <c r="K10" s="229"/>
      <c r="L10" s="229"/>
      <c r="M10" s="229"/>
      <c r="N10" s="229"/>
    </row>
    <row r="11" spans="1:15" ht="39.75" customHeight="1">
      <c r="A11" s="310" t="s">
        <v>162</v>
      </c>
      <c r="B11" s="310"/>
      <c r="C11" s="309" t="s">
        <v>163</v>
      </c>
      <c r="D11" s="276"/>
      <c r="E11" s="276"/>
      <c r="F11" s="276" t="s">
        <v>164</v>
      </c>
      <c r="G11" s="276"/>
      <c r="H11" s="276"/>
      <c r="I11" s="276" t="s">
        <v>165</v>
      </c>
      <c r="J11" s="276"/>
      <c r="K11" s="276"/>
      <c r="L11" s="317" t="s">
        <v>166</v>
      </c>
      <c r="M11" s="318"/>
      <c r="N11" s="309"/>
      <c r="O11" s="248"/>
    </row>
    <row r="12" spans="1:15" ht="163.5" customHeight="1">
      <c r="A12" s="310"/>
      <c r="B12" s="310"/>
      <c r="C12" s="205" t="s">
        <v>167</v>
      </c>
      <c r="D12" s="205" t="s">
        <v>168</v>
      </c>
      <c r="E12" s="205" t="s">
        <v>169</v>
      </c>
      <c r="F12" s="205" t="s">
        <v>167</v>
      </c>
      <c r="G12" s="205" t="s">
        <v>168</v>
      </c>
      <c r="H12" s="205" t="s">
        <v>169</v>
      </c>
      <c r="I12" s="205" t="s">
        <v>167</v>
      </c>
      <c r="J12" s="205" t="s">
        <v>168</v>
      </c>
      <c r="K12" s="205" t="s">
        <v>169</v>
      </c>
      <c r="L12" s="227" t="s">
        <v>170</v>
      </c>
      <c r="M12" s="227" t="s">
        <v>171</v>
      </c>
      <c r="N12" s="227" t="s">
        <v>172</v>
      </c>
      <c r="O12" s="248"/>
    </row>
    <row r="13" spans="1:15">
      <c r="A13" s="310">
        <v>1</v>
      </c>
      <c r="B13" s="310"/>
      <c r="C13" s="205">
        <v>2</v>
      </c>
      <c r="D13" s="205">
        <v>3</v>
      </c>
      <c r="E13" s="205">
        <v>4</v>
      </c>
      <c r="F13" s="205">
        <v>5</v>
      </c>
      <c r="G13" s="209">
        <v>6</v>
      </c>
      <c r="H13" s="209">
        <v>7</v>
      </c>
      <c r="I13" s="209">
        <v>8</v>
      </c>
      <c r="J13" s="209">
        <v>9</v>
      </c>
      <c r="K13" s="209">
        <v>10</v>
      </c>
      <c r="L13" s="209">
        <v>11</v>
      </c>
      <c r="M13" s="209">
        <v>12</v>
      </c>
      <c r="N13" s="209">
        <v>13</v>
      </c>
      <c r="O13" s="242"/>
    </row>
    <row r="14" spans="1:15">
      <c r="A14" s="316" t="s">
        <v>429</v>
      </c>
      <c r="B14" s="316"/>
      <c r="C14" s="52">
        <v>24930</v>
      </c>
      <c r="D14" s="52"/>
      <c r="E14" s="53"/>
      <c r="F14" s="52">
        <v>25648</v>
      </c>
      <c r="G14" s="52"/>
      <c r="H14" s="53"/>
      <c r="I14" s="57">
        <f t="shared" ref="I14:K15" si="0">F14-C14</f>
        <v>718</v>
      </c>
      <c r="J14" s="57">
        <f t="shared" si="0"/>
        <v>0</v>
      </c>
      <c r="K14" s="57">
        <f t="shared" si="0"/>
        <v>0</v>
      </c>
      <c r="L14" s="57">
        <f t="shared" ref="L14:N15" si="1">(F14/C14)*100</f>
        <v>102.88006417970317</v>
      </c>
      <c r="M14" s="57" t="e">
        <f t="shared" si="1"/>
        <v>#DIV/0!</v>
      </c>
      <c r="N14" s="57" t="e">
        <f t="shared" si="1"/>
        <v>#DIV/0!</v>
      </c>
      <c r="O14" s="249"/>
    </row>
    <row r="15" spans="1:15">
      <c r="A15" s="302"/>
      <c r="B15" s="302"/>
      <c r="C15" s="52"/>
      <c r="D15" s="52"/>
      <c r="E15" s="53"/>
      <c r="F15" s="52"/>
      <c r="G15" s="52"/>
      <c r="H15" s="53"/>
      <c r="I15" s="57">
        <f t="shared" si="0"/>
        <v>0</v>
      </c>
      <c r="J15" s="57">
        <f t="shared" si="0"/>
        <v>0</v>
      </c>
      <c r="K15" s="57">
        <f t="shared" si="0"/>
        <v>0</v>
      </c>
      <c r="L15" s="57" t="e">
        <f t="shared" si="1"/>
        <v>#DIV/0!</v>
      </c>
      <c r="M15" s="57" t="e">
        <f t="shared" si="1"/>
        <v>#DIV/0!</v>
      </c>
      <c r="N15" s="57" t="e">
        <f t="shared" si="1"/>
        <v>#DIV/0!</v>
      </c>
      <c r="O15" s="249"/>
    </row>
    <row r="16" spans="1:15">
      <c r="A16" s="300" t="s">
        <v>173</v>
      </c>
      <c r="B16" s="301"/>
      <c r="C16" s="222">
        <f>SUM(C14:C15)</f>
        <v>24930</v>
      </c>
      <c r="D16" s="52"/>
      <c r="E16" s="53"/>
      <c r="F16" s="222">
        <f>SUM(F14:F15)</f>
        <v>25648</v>
      </c>
      <c r="G16" s="52"/>
      <c r="H16" s="53"/>
      <c r="I16" s="57">
        <f>F16-C16</f>
        <v>718</v>
      </c>
      <c r="J16" s="52"/>
      <c r="K16" s="53"/>
      <c r="L16" s="57">
        <f>(F16/C16)*100</f>
        <v>102.88006417970317</v>
      </c>
      <c r="M16" s="52"/>
      <c r="N16" s="53"/>
      <c r="O16" s="250"/>
    </row>
    <row r="17" spans="1:15" ht="11.25" customHeight="1">
      <c r="A17" s="210"/>
      <c r="B17" s="210"/>
      <c r="C17" s="210"/>
      <c r="D17" s="210"/>
      <c r="E17" s="210"/>
      <c r="F17" s="210"/>
      <c r="G17" s="210"/>
      <c r="H17" s="210"/>
      <c r="I17" s="210"/>
      <c r="J17" s="229"/>
      <c r="K17" s="229"/>
      <c r="L17" s="229"/>
      <c r="M17" s="229"/>
      <c r="N17" s="229"/>
    </row>
    <row r="18" spans="1:15" s="5" customFormat="1" ht="21" customHeight="1">
      <c r="A18" s="315" t="s">
        <v>174</v>
      </c>
      <c r="B18" s="315"/>
      <c r="C18" s="315"/>
      <c r="D18" s="315"/>
      <c r="E18" s="315"/>
      <c r="F18" s="315"/>
      <c r="G18" s="315"/>
      <c r="H18" s="315"/>
      <c r="I18" s="315"/>
    </row>
    <row r="19" spans="1:15" s="5" customFormat="1" ht="59.25" customHeight="1">
      <c r="A19" s="302" t="s">
        <v>28</v>
      </c>
      <c r="B19" s="276" t="s">
        <v>175</v>
      </c>
      <c r="C19" s="276" t="s">
        <v>176</v>
      </c>
      <c r="D19" s="276"/>
      <c r="E19" s="276" t="s">
        <v>177</v>
      </c>
      <c r="F19" s="302"/>
      <c r="G19" s="302"/>
      <c r="H19" s="302"/>
      <c r="I19" s="302"/>
      <c r="J19" s="302"/>
      <c r="K19" s="302"/>
      <c r="L19" s="302"/>
      <c r="M19" s="302"/>
      <c r="N19" s="302"/>
      <c r="O19" s="242"/>
    </row>
    <row r="20" spans="1:15" s="5" customFormat="1" ht="39.75" customHeight="1">
      <c r="A20" s="302"/>
      <c r="B20" s="276"/>
      <c r="C20" s="255" t="s">
        <v>178</v>
      </c>
      <c r="D20" s="255" t="s">
        <v>179</v>
      </c>
      <c r="E20" s="255" t="s">
        <v>34</v>
      </c>
      <c r="F20" s="205" t="s">
        <v>35</v>
      </c>
      <c r="G20" s="205" t="s">
        <v>36</v>
      </c>
      <c r="H20" s="205" t="s">
        <v>180</v>
      </c>
      <c r="I20" s="276" t="s">
        <v>181</v>
      </c>
      <c r="J20" s="276"/>
      <c r="K20" s="276"/>
      <c r="L20" s="276"/>
      <c r="M20" s="276"/>
      <c r="N20" s="276"/>
      <c r="O20" s="248"/>
    </row>
    <row r="21" spans="1:15" s="5" customFormat="1" ht="24.95" customHeight="1">
      <c r="A21" s="209">
        <v>1</v>
      </c>
      <c r="B21" s="205">
        <v>2</v>
      </c>
      <c r="C21" s="209">
        <v>3</v>
      </c>
      <c r="D21" s="205">
        <v>4</v>
      </c>
      <c r="E21" s="209">
        <v>5</v>
      </c>
      <c r="F21" s="205">
        <v>6</v>
      </c>
      <c r="G21" s="209">
        <v>7</v>
      </c>
      <c r="H21" s="205">
        <v>8</v>
      </c>
      <c r="I21" s="302">
        <v>9</v>
      </c>
      <c r="J21" s="302"/>
      <c r="K21" s="302"/>
      <c r="L21" s="302"/>
      <c r="M21" s="302"/>
      <c r="N21" s="302"/>
      <c r="O21" s="242"/>
    </row>
    <row r="22" spans="1:15" s="5" customFormat="1" ht="24.95" customHeight="1">
      <c r="A22" s="307" t="s">
        <v>182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244"/>
    </row>
    <row r="23" spans="1:15" s="5" customFormat="1" ht="20.100000000000001" customHeight="1">
      <c r="A23" s="211" t="s">
        <v>39</v>
      </c>
      <c r="B23" s="7">
        <v>1000</v>
      </c>
      <c r="C23" s="56">
        <v>22105.5</v>
      </c>
      <c r="D23" s="56">
        <f>5382.5+6751+6442+7072</f>
        <v>25647.5</v>
      </c>
      <c r="E23" s="56">
        <v>24930</v>
      </c>
      <c r="F23" s="56">
        <f>5382.5+6751+6442+7072</f>
        <v>25647.5</v>
      </c>
      <c r="G23" s="56">
        <f>F23-E23</f>
        <v>717.5</v>
      </c>
      <c r="H23" s="71">
        <f>(F23/E23)*100</f>
        <v>102.87805856397914</v>
      </c>
      <c r="I23" s="303"/>
      <c r="J23" s="303"/>
      <c r="K23" s="303"/>
      <c r="L23" s="303"/>
      <c r="M23" s="303"/>
      <c r="N23" s="303"/>
      <c r="O23" s="251"/>
    </row>
    <row r="24" spans="1:15" s="5" customFormat="1" ht="20.100000000000001" customHeight="1">
      <c r="A24" s="211" t="s">
        <v>40</v>
      </c>
      <c r="B24" s="7">
        <v>1010</v>
      </c>
      <c r="C24" s="223">
        <f>SUM(C25:C33)</f>
        <v>-17715.899999999994</v>
      </c>
      <c r="D24" s="223">
        <f>SUM(D25:D33)</f>
        <v>-20075.600000000002</v>
      </c>
      <c r="E24" s="223">
        <f>SUM(E25:E33)</f>
        <v>-22633</v>
      </c>
      <c r="F24" s="223">
        <f>SUM(F25:F33)</f>
        <v>-20075.600000000002</v>
      </c>
      <c r="G24" s="56">
        <f t="shared" ref="G24:G92" si="2">F24-E24</f>
        <v>2557.3999999999978</v>
      </c>
      <c r="H24" s="71">
        <f t="shared" ref="H24:H92" si="3">(F24/E24)*100</f>
        <v>88.700569964211567</v>
      </c>
      <c r="I24" s="303"/>
      <c r="J24" s="303"/>
      <c r="K24" s="303"/>
      <c r="L24" s="303"/>
      <c r="M24" s="303"/>
      <c r="N24" s="303"/>
      <c r="O24" s="251"/>
    </row>
    <row r="25" spans="1:15" s="2" customFormat="1" ht="20.100000000000001" customHeight="1">
      <c r="A25" s="228" t="s">
        <v>183</v>
      </c>
      <c r="B25" s="205">
        <v>1011</v>
      </c>
      <c r="C25" s="51">
        <v>-2228.5</v>
      </c>
      <c r="D25" s="256">
        <f>-471.8+-412+-590+-876</f>
        <v>-2349.8000000000002</v>
      </c>
      <c r="E25" s="256">
        <v>-2400</v>
      </c>
      <c r="F25" s="256">
        <f>-471.8+-412+-590+-876</f>
        <v>-2349.8000000000002</v>
      </c>
      <c r="G25" s="51">
        <f t="shared" si="2"/>
        <v>50.199999999999818</v>
      </c>
      <c r="H25" s="69">
        <f t="shared" si="3"/>
        <v>97.908333333333346</v>
      </c>
      <c r="I25" s="304"/>
      <c r="J25" s="304"/>
      <c r="K25" s="304"/>
      <c r="L25" s="304"/>
      <c r="M25" s="304"/>
      <c r="N25" s="304"/>
      <c r="O25" s="247"/>
    </row>
    <row r="26" spans="1:15" s="2" customFormat="1" ht="20.100000000000001" customHeight="1">
      <c r="A26" s="228" t="s">
        <v>185</v>
      </c>
      <c r="B26" s="205">
        <v>1012</v>
      </c>
      <c r="C26" s="51" t="s">
        <v>184</v>
      </c>
      <c r="D26" s="256">
        <f>-13.2+-11</f>
        <v>-24.2</v>
      </c>
      <c r="E26" s="256">
        <v>-20</v>
      </c>
      <c r="F26" s="256">
        <f>-13.2+-11</f>
        <v>-24.2</v>
      </c>
      <c r="G26" s="51">
        <f t="shared" si="2"/>
        <v>-4.1999999999999993</v>
      </c>
      <c r="H26" s="69">
        <f t="shared" si="3"/>
        <v>121</v>
      </c>
      <c r="I26" s="304"/>
      <c r="J26" s="304"/>
      <c r="K26" s="304"/>
      <c r="L26" s="304"/>
      <c r="M26" s="304"/>
      <c r="N26" s="304"/>
      <c r="O26" s="247"/>
    </row>
    <row r="27" spans="1:15" s="2" customFormat="1" ht="20.100000000000001" customHeight="1">
      <c r="A27" s="228" t="s">
        <v>417</v>
      </c>
      <c r="B27" s="205">
        <v>1013</v>
      </c>
      <c r="C27" s="51">
        <v>-883.8</v>
      </c>
      <c r="D27" s="256">
        <f>-258.3+-222+-90.7+-353.9</f>
        <v>-924.9</v>
      </c>
      <c r="E27" s="256">
        <v>-1170</v>
      </c>
      <c r="F27" s="256">
        <f>-258.3+-222+-90.7+-353.9</f>
        <v>-924.9</v>
      </c>
      <c r="G27" s="51">
        <f t="shared" si="2"/>
        <v>245.10000000000002</v>
      </c>
      <c r="H27" s="69">
        <f t="shared" si="3"/>
        <v>79.051282051282044</v>
      </c>
      <c r="I27" s="304"/>
      <c r="J27" s="304"/>
      <c r="K27" s="304"/>
      <c r="L27" s="304"/>
      <c r="M27" s="304"/>
      <c r="N27" s="304"/>
      <c r="O27" s="247"/>
    </row>
    <row r="28" spans="1:15" s="2" customFormat="1" ht="90" customHeight="1">
      <c r="A28" s="228" t="s">
        <v>127</v>
      </c>
      <c r="B28" s="205">
        <v>1014</v>
      </c>
      <c r="C28" s="51">
        <v>-11711.8</v>
      </c>
      <c r="D28" s="256">
        <f>-2823.6+-3238+-3524+-3695.7</f>
        <v>-13281.3</v>
      </c>
      <c r="E28" s="256">
        <v>-15150</v>
      </c>
      <c r="F28" s="256">
        <f>-2823.6+-3238+-3524+-3695.7</f>
        <v>-13281.3</v>
      </c>
      <c r="G28" s="51">
        <f t="shared" si="2"/>
        <v>1868.7000000000007</v>
      </c>
      <c r="H28" s="69">
        <f t="shared" si="3"/>
        <v>87.665346534653466</v>
      </c>
      <c r="I28" s="304"/>
      <c r="J28" s="304"/>
      <c r="K28" s="304"/>
      <c r="L28" s="304"/>
      <c r="M28" s="304"/>
      <c r="N28" s="304"/>
      <c r="O28" s="247"/>
    </row>
    <row r="29" spans="1:15" s="2" customFormat="1" ht="20.100000000000001" customHeight="1">
      <c r="A29" s="228" t="s">
        <v>186</v>
      </c>
      <c r="B29" s="205">
        <v>1015</v>
      </c>
      <c r="C29" s="51">
        <v>-2382.6</v>
      </c>
      <c r="D29" s="256">
        <f>-576.9+-659+-717+-767</f>
        <v>-2719.9</v>
      </c>
      <c r="E29" s="256">
        <v>-3333</v>
      </c>
      <c r="F29" s="256">
        <f>-576.9+-659+-717+-767</f>
        <v>-2719.9</v>
      </c>
      <c r="G29" s="51">
        <f t="shared" si="2"/>
        <v>613.09999999999991</v>
      </c>
      <c r="H29" s="69">
        <f t="shared" si="3"/>
        <v>81.605160516051612</v>
      </c>
      <c r="I29" s="304"/>
      <c r="J29" s="304"/>
      <c r="K29" s="304"/>
      <c r="L29" s="304"/>
      <c r="M29" s="304"/>
      <c r="N29" s="304"/>
      <c r="O29" s="247"/>
    </row>
    <row r="30" spans="1:15" s="2" customFormat="1" ht="56.25">
      <c r="A30" s="228" t="s">
        <v>187</v>
      </c>
      <c r="B30" s="205">
        <v>1016</v>
      </c>
      <c r="C30" s="51" t="s">
        <v>184</v>
      </c>
      <c r="D30" s="256" t="s">
        <v>184</v>
      </c>
      <c r="E30" s="256" t="s">
        <v>184</v>
      </c>
      <c r="F30" s="256" t="s">
        <v>184</v>
      </c>
      <c r="G30" s="51" t="e">
        <f t="shared" si="2"/>
        <v>#VALUE!</v>
      </c>
      <c r="H30" s="69" t="e">
        <f t="shared" si="3"/>
        <v>#VALUE!</v>
      </c>
      <c r="I30" s="304"/>
      <c r="J30" s="304"/>
      <c r="K30" s="304"/>
      <c r="L30" s="304"/>
      <c r="M30" s="304"/>
      <c r="N30" s="304"/>
      <c r="O30" s="247"/>
    </row>
    <row r="31" spans="1:15" s="2" customFormat="1">
      <c r="A31" s="228" t="s">
        <v>188</v>
      </c>
      <c r="B31" s="205">
        <v>1017</v>
      </c>
      <c r="C31" s="51">
        <v>-389.6</v>
      </c>
      <c r="D31" s="256">
        <f>-102.5+-175+-195.1+-188</f>
        <v>-660.6</v>
      </c>
      <c r="E31" s="256">
        <v>-430</v>
      </c>
      <c r="F31" s="256">
        <f>-102.5+-175+-195.1+-188</f>
        <v>-660.6</v>
      </c>
      <c r="G31" s="51">
        <f>F31-E31</f>
        <v>-230.60000000000002</v>
      </c>
      <c r="H31" s="69">
        <f>(F31/E31)*100</f>
        <v>153.62790697674421</v>
      </c>
      <c r="I31" s="321"/>
      <c r="J31" s="322"/>
      <c r="K31" s="322"/>
      <c r="L31" s="322"/>
      <c r="M31" s="322"/>
      <c r="N31" s="323"/>
      <c r="O31" s="247"/>
    </row>
    <row r="32" spans="1:15" s="2" customFormat="1" ht="20.100000000000001" customHeight="1">
      <c r="A32" s="228" t="s">
        <v>189</v>
      </c>
      <c r="B32" s="205">
        <v>1018</v>
      </c>
      <c r="C32" s="51" t="s">
        <v>184</v>
      </c>
      <c r="D32" s="256" t="s">
        <v>184</v>
      </c>
      <c r="E32" s="256" t="s">
        <v>184</v>
      </c>
      <c r="F32" s="256" t="s">
        <v>184</v>
      </c>
      <c r="G32" s="51" t="e">
        <f t="shared" si="2"/>
        <v>#VALUE!</v>
      </c>
      <c r="H32" s="69" t="e">
        <f t="shared" si="3"/>
        <v>#VALUE!</v>
      </c>
      <c r="I32" s="304"/>
      <c r="J32" s="304"/>
      <c r="K32" s="304"/>
      <c r="L32" s="304"/>
      <c r="M32" s="304"/>
      <c r="N32" s="304"/>
      <c r="O32" s="247"/>
    </row>
    <row r="33" spans="1:17" s="2" customFormat="1" ht="20.100000000000001" customHeight="1">
      <c r="A33" s="228" t="s">
        <v>408</v>
      </c>
      <c r="B33" s="205">
        <v>1019</v>
      </c>
      <c r="C33" s="51">
        <v>-119.6</v>
      </c>
      <c r="D33" s="256">
        <f>-19.9+-32+-11+-52</f>
        <v>-114.9</v>
      </c>
      <c r="E33" s="256">
        <v>-130</v>
      </c>
      <c r="F33" s="256">
        <f>-19.9+-32+-11+-52</f>
        <v>-114.9</v>
      </c>
      <c r="G33" s="51">
        <f t="shared" si="2"/>
        <v>15.099999999999994</v>
      </c>
      <c r="H33" s="69">
        <f t="shared" si="3"/>
        <v>88.384615384615387</v>
      </c>
      <c r="I33" s="304"/>
      <c r="J33" s="304"/>
      <c r="K33" s="304"/>
      <c r="L33" s="304"/>
      <c r="M33" s="304"/>
      <c r="N33" s="304"/>
      <c r="O33" s="247"/>
    </row>
    <row r="34" spans="1:17" s="5" customFormat="1" ht="20.100000000000001" customHeight="1">
      <c r="A34" s="211" t="s">
        <v>190</v>
      </c>
      <c r="B34" s="7">
        <v>1020</v>
      </c>
      <c r="C34" s="223">
        <f>SUM(C23,C24)</f>
        <v>4389.6000000000058</v>
      </c>
      <c r="D34" s="223">
        <f>SUM(D23,D24)</f>
        <v>5571.8999999999978</v>
      </c>
      <c r="E34" s="223">
        <f>SUM(E23,E24)</f>
        <v>2297</v>
      </c>
      <c r="F34" s="223">
        <f>SUM(F23,F24)</f>
        <v>5571.8999999999978</v>
      </c>
      <c r="G34" s="56">
        <f t="shared" si="2"/>
        <v>3274.8999999999978</v>
      </c>
      <c r="H34" s="71">
        <f t="shared" si="3"/>
        <v>242.57292120156717</v>
      </c>
      <c r="I34" s="303"/>
      <c r="J34" s="303"/>
      <c r="K34" s="303"/>
      <c r="L34" s="303"/>
      <c r="M34" s="303"/>
      <c r="N34" s="303"/>
      <c r="O34" s="251"/>
    </row>
    <row r="35" spans="1:17" s="5" customFormat="1" ht="20.100000000000001" customHeight="1">
      <c r="A35" s="211" t="s">
        <v>191</v>
      </c>
      <c r="B35" s="7">
        <v>1030</v>
      </c>
      <c r="C35" s="223">
        <f>SUM(C36:C55,C57)</f>
        <v>-4455.7000000000007</v>
      </c>
      <c r="D35" s="223">
        <f>SUM(D36:D55,D57)</f>
        <v>-5350.5</v>
      </c>
      <c r="E35" s="223">
        <f>SUM(E36:E55,E57)</f>
        <v>-4463</v>
      </c>
      <c r="F35" s="223">
        <f>SUM(F36:F55,F57)</f>
        <v>-5350.5</v>
      </c>
      <c r="G35" s="56">
        <f t="shared" si="2"/>
        <v>-887.5</v>
      </c>
      <c r="H35" s="71">
        <f t="shared" si="3"/>
        <v>119.88572708940175</v>
      </c>
      <c r="I35" s="303"/>
      <c r="J35" s="303"/>
      <c r="K35" s="303"/>
      <c r="L35" s="303"/>
      <c r="M35" s="303"/>
      <c r="N35" s="303"/>
      <c r="O35" s="251"/>
    </row>
    <row r="36" spans="1:17" ht="20.100000000000001" customHeight="1">
      <c r="A36" s="228" t="s">
        <v>192</v>
      </c>
      <c r="B36" s="6">
        <v>1031</v>
      </c>
      <c r="C36" s="51" t="s">
        <v>184</v>
      </c>
      <c r="D36" s="256">
        <f>-9.3</f>
        <v>-9.3000000000000007</v>
      </c>
      <c r="E36" s="256">
        <v>-25</v>
      </c>
      <c r="F36" s="256">
        <f>-9.3</f>
        <v>-9.3000000000000007</v>
      </c>
      <c r="G36" s="51">
        <f t="shared" si="2"/>
        <v>15.7</v>
      </c>
      <c r="H36" s="69">
        <f t="shared" si="3"/>
        <v>37.200000000000003</v>
      </c>
      <c r="I36" s="305"/>
      <c r="J36" s="305"/>
      <c r="K36" s="305"/>
      <c r="L36" s="305"/>
      <c r="M36" s="305"/>
      <c r="N36" s="305"/>
      <c r="O36" s="252"/>
    </row>
    <row r="37" spans="1:17" ht="20.100000000000001" customHeight="1">
      <c r="A37" s="228" t="s">
        <v>193</v>
      </c>
      <c r="B37" s="6">
        <v>1032</v>
      </c>
      <c r="C37" s="51" t="s">
        <v>184</v>
      </c>
      <c r="D37" s="256" t="s">
        <v>184</v>
      </c>
      <c r="E37" s="256" t="s">
        <v>184</v>
      </c>
      <c r="F37" s="256" t="s">
        <v>184</v>
      </c>
      <c r="G37" s="51" t="e">
        <f t="shared" si="2"/>
        <v>#VALUE!</v>
      </c>
      <c r="H37" s="69" t="e">
        <f t="shared" si="3"/>
        <v>#VALUE!</v>
      </c>
      <c r="I37" s="305"/>
      <c r="J37" s="305"/>
      <c r="K37" s="305"/>
      <c r="L37" s="305"/>
      <c r="M37" s="305"/>
      <c r="N37" s="305"/>
      <c r="O37" s="252"/>
    </row>
    <row r="38" spans="1:17" ht="20.100000000000001" customHeight="1">
      <c r="A38" s="228" t="s">
        <v>194</v>
      </c>
      <c r="B38" s="6">
        <v>1033</v>
      </c>
      <c r="C38" s="51" t="s">
        <v>184</v>
      </c>
      <c r="D38" s="256" t="s">
        <v>184</v>
      </c>
      <c r="E38" s="256" t="s">
        <v>184</v>
      </c>
      <c r="F38" s="256" t="s">
        <v>184</v>
      </c>
      <c r="G38" s="51" t="e">
        <f t="shared" si="2"/>
        <v>#VALUE!</v>
      </c>
      <c r="H38" s="69" t="e">
        <f t="shared" si="3"/>
        <v>#VALUE!</v>
      </c>
      <c r="I38" s="305"/>
      <c r="J38" s="305"/>
      <c r="K38" s="305"/>
      <c r="L38" s="305"/>
      <c r="M38" s="305"/>
      <c r="N38" s="305"/>
      <c r="O38" s="252"/>
    </row>
    <row r="39" spans="1:17" ht="20.100000000000001" customHeight="1">
      <c r="A39" s="228" t="s">
        <v>195</v>
      </c>
      <c r="B39" s="6">
        <v>1034</v>
      </c>
      <c r="C39" s="51" t="s">
        <v>184</v>
      </c>
      <c r="D39" s="256" t="s">
        <v>184</v>
      </c>
      <c r="E39" s="256">
        <v>-4</v>
      </c>
      <c r="F39" s="256" t="s">
        <v>184</v>
      </c>
      <c r="G39" s="51" t="e">
        <f t="shared" si="2"/>
        <v>#VALUE!</v>
      </c>
      <c r="H39" s="69" t="e">
        <f t="shared" si="3"/>
        <v>#VALUE!</v>
      </c>
      <c r="I39" s="305"/>
      <c r="J39" s="305"/>
      <c r="K39" s="305"/>
      <c r="L39" s="305"/>
      <c r="M39" s="305"/>
      <c r="N39" s="305"/>
      <c r="O39" s="252"/>
    </row>
    <row r="40" spans="1:17" ht="20.100000000000001" customHeight="1">
      <c r="A40" s="228" t="s">
        <v>196</v>
      </c>
      <c r="B40" s="6">
        <v>1035</v>
      </c>
      <c r="C40" s="51" t="s">
        <v>184</v>
      </c>
      <c r="D40" s="256" t="s">
        <v>184</v>
      </c>
      <c r="E40" s="256" t="s">
        <v>184</v>
      </c>
      <c r="F40" s="256" t="s">
        <v>184</v>
      </c>
      <c r="G40" s="51" t="e">
        <f t="shared" si="2"/>
        <v>#VALUE!</v>
      </c>
      <c r="H40" s="69" t="e">
        <f t="shared" si="3"/>
        <v>#VALUE!</v>
      </c>
      <c r="I40" s="305"/>
      <c r="J40" s="305"/>
      <c r="K40" s="305"/>
      <c r="L40" s="305"/>
      <c r="M40" s="305"/>
      <c r="N40" s="305"/>
      <c r="O40" s="252"/>
    </row>
    <row r="41" spans="1:17" s="2" customFormat="1" ht="20.100000000000001" customHeight="1">
      <c r="A41" s="228" t="s">
        <v>197</v>
      </c>
      <c r="B41" s="6">
        <v>1036</v>
      </c>
      <c r="C41" s="51">
        <v>-6.7</v>
      </c>
      <c r="D41" s="256">
        <f>-2.4+-4.5+-1.6</f>
        <v>-8.5</v>
      </c>
      <c r="E41" s="256">
        <v>-10</v>
      </c>
      <c r="F41" s="256">
        <f>-2.4+-4.5+-1.6</f>
        <v>-8.5</v>
      </c>
      <c r="G41" s="51">
        <f t="shared" si="2"/>
        <v>1.5</v>
      </c>
      <c r="H41" s="69">
        <f t="shared" si="3"/>
        <v>85</v>
      </c>
      <c r="I41" s="305"/>
      <c r="J41" s="305"/>
      <c r="K41" s="305"/>
      <c r="L41" s="305"/>
      <c r="M41" s="305"/>
      <c r="N41" s="305"/>
      <c r="O41" s="252"/>
    </row>
    <row r="42" spans="1:17" s="2" customFormat="1" ht="20.100000000000001" customHeight="1">
      <c r="A42" s="228" t="s">
        <v>198</v>
      </c>
      <c r="B42" s="6">
        <v>1037</v>
      </c>
      <c r="C42" s="51">
        <v>-13.3</v>
      </c>
      <c r="D42" s="256">
        <f>-1.8+-4.6+-3</f>
        <v>-9.3999999999999986</v>
      </c>
      <c r="E42" s="256">
        <v>-15</v>
      </c>
      <c r="F42" s="256">
        <f>-1.8+-4.6+-3</f>
        <v>-9.3999999999999986</v>
      </c>
      <c r="G42" s="51">
        <f t="shared" si="2"/>
        <v>5.6000000000000014</v>
      </c>
      <c r="H42" s="69">
        <f t="shared" si="3"/>
        <v>62.666666666666657</v>
      </c>
      <c r="I42" s="305"/>
      <c r="J42" s="305"/>
      <c r="K42" s="305"/>
      <c r="L42" s="305"/>
      <c r="M42" s="305"/>
      <c r="N42" s="305"/>
      <c r="O42" s="252"/>
    </row>
    <row r="43" spans="1:17" s="2" customFormat="1" ht="20.100000000000001" customHeight="1">
      <c r="A43" s="228" t="s">
        <v>199</v>
      </c>
      <c r="B43" s="6">
        <v>1038</v>
      </c>
      <c r="C43" s="51">
        <v>-3107.3</v>
      </c>
      <c r="D43" s="256">
        <f>-841.2+-916+-1098+-943.4</f>
        <v>-3798.6</v>
      </c>
      <c r="E43" s="256">
        <v>-3200</v>
      </c>
      <c r="F43" s="256">
        <f>-841.2+-916+-1098+-943.4</f>
        <v>-3798.6</v>
      </c>
      <c r="G43" s="51">
        <f t="shared" si="2"/>
        <v>-598.59999999999991</v>
      </c>
      <c r="H43" s="69">
        <f t="shared" si="3"/>
        <v>118.70625</v>
      </c>
      <c r="I43" s="305"/>
      <c r="J43" s="305"/>
      <c r="K43" s="305"/>
      <c r="L43" s="305"/>
      <c r="M43" s="305"/>
      <c r="N43" s="305"/>
      <c r="O43" s="241"/>
      <c r="P43" s="241"/>
      <c r="Q43" s="241"/>
    </row>
    <row r="44" spans="1:17" s="2" customFormat="1" ht="20.100000000000001" customHeight="1">
      <c r="A44" s="228" t="s">
        <v>200</v>
      </c>
      <c r="B44" s="6">
        <v>1039</v>
      </c>
      <c r="C44" s="51">
        <v>-626.4</v>
      </c>
      <c r="D44" s="256">
        <f>-171.4+-181+-228+-195.5</f>
        <v>-775.9</v>
      </c>
      <c r="E44" s="256">
        <v>-704</v>
      </c>
      <c r="F44" s="256">
        <f>-171.4+-181+-228+-195.5</f>
        <v>-775.9</v>
      </c>
      <c r="G44" s="51">
        <f t="shared" si="2"/>
        <v>-71.899999999999977</v>
      </c>
      <c r="H44" s="69">
        <f t="shared" si="3"/>
        <v>110.21306818181817</v>
      </c>
      <c r="I44" s="305"/>
      <c r="J44" s="305"/>
      <c r="K44" s="305"/>
      <c r="L44" s="305"/>
      <c r="M44" s="305"/>
      <c r="N44" s="305"/>
      <c r="O44" s="241"/>
      <c r="P44" s="241"/>
      <c r="Q44" s="241"/>
    </row>
    <row r="45" spans="1:17" s="2" customFormat="1" ht="42.75" customHeight="1">
      <c r="A45" s="228" t="s">
        <v>201</v>
      </c>
      <c r="B45" s="6">
        <v>1040</v>
      </c>
      <c r="C45" s="51">
        <v>-125.9</v>
      </c>
      <c r="D45" s="256">
        <f>-35.1+-27.2+-4.7+-36</f>
        <v>-103</v>
      </c>
      <c r="E45" s="256">
        <v>-80</v>
      </c>
      <c r="F45" s="256">
        <f>-35.1+-27.2+-4.7+-36</f>
        <v>-103</v>
      </c>
      <c r="G45" s="51">
        <f t="shared" si="2"/>
        <v>-23</v>
      </c>
      <c r="H45" s="69">
        <f t="shared" si="3"/>
        <v>128.75</v>
      </c>
      <c r="I45" s="305"/>
      <c r="J45" s="305"/>
      <c r="K45" s="305"/>
      <c r="L45" s="305"/>
      <c r="M45" s="305"/>
      <c r="N45" s="305"/>
      <c r="O45" s="252"/>
    </row>
    <row r="46" spans="1:17" s="2" customFormat="1" ht="42.75" customHeight="1">
      <c r="A46" s="228" t="s">
        <v>202</v>
      </c>
      <c r="B46" s="6">
        <v>1041</v>
      </c>
      <c r="C46" s="51" t="s">
        <v>184</v>
      </c>
      <c r="D46" s="256" t="s">
        <v>184</v>
      </c>
      <c r="E46" s="256" t="s">
        <v>184</v>
      </c>
      <c r="F46" s="256" t="s">
        <v>184</v>
      </c>
      <c r="G46" s="51" t="e">
        <f t="shared" si="2"/>
        <v>#VALUE!</v>
      </c>
      <c r="H46" s="69" t="e">
        <f t="shared" si="3"/>
        <v>#VALUE!</v>
      </c>
      <c r="I46" s="305"/>
      <c r="J46" s="305"/>
      <c r="K46" s="305"/>
      <c r="L46" s="305"/>
      <c r="M46" s="305"/>
      <c r="N46" s="305"/>
      <c r="O46" s="252"/>
    </row>
    <row r="47" spans="1:17" s="2" customFormat="1" ht="20.100000000000001" customHeight="1">
      <c r="A47" s="228" t="s">
        <v>203</v>
      </c>
      <c r="B47" s="6">
        <v>1042</v>
      </c>
      <c r="C47" s="51" t="s">
        <v>184</v>
      </c>
      <c r="D47" s="256" t="s">
        <v>184</v>
      </c>
      <c r="E47" s="256" t="s">
        <v>184</v>
      </c>
      <c r="F47" s="256" t="s">
        <v>184</v>
      </c>
      <c r="G47" s="51" t="e">
        <f t="shared" si="2"/>
        <v>#VALUE!</v>
      </c>
      <c r="H47" s="69" t="e">
        <f t="shared" si="3"/>
        <v>#VALUE!</v>
      </c>
      <c r="I47" s="305"/>
      <c r="J47" s="305"/>
      <c r="K47" s="305"/>
      <c r="L47" s="305"/>
      <c r="M47" s="305"/>
      <c r="N47" s="305"/>
      <c r="O47" s="252"/>
    </row>
    <row r="48" spans="1:17" s="2" customFormat="1" ht="20.100000000000001" customHeight="1">
      <c r="A48" s="228" t="s">
        <v>204</v>
      </c>
      <c r="B48" s="6">
        <v>1043</v>
      </c>
      <c r="C48" s="51" t="s">
        <v>184</v>
      </c>
      <c r="D48" s="256" t="s">
        <v>184</v>
      </c>
      <c r="E48" s="256" t="s">
        <v>184</v>
      </c>
      <c r="F48" s="256" t="s">
        <v>184</v>
      </c>
      <c r="G48" s="51" t="e">
        <f t="shared" si="2"/>
        <v>#VALUE!</v>
      </c>
      <c r="H48" s="69" t="e">
        <f t="shared" si="3"/>
        <v>#VALUE!</v>
      </c>
      <c r="I48" s="305"/>
      <c r="J48" s="305"/>
      <c r="K48" s="305"/>
      <c r="L48" s="305"/>
      <c r="M48" s="305"/>
      <c r="N48" s="305"/>
      <c r="O48" s="252"/>
    </row>
    <row r="49" spans="1:15" s="2" customFormat="1" ht="20.100000000000001" customHeight="1">
      <c r="A49" s="228" t="s">
        <v>205</v>
      </c>
      <c r="B49" s="6">
        <v>1044</v>
      </c>
      <c r="C49" s="51" t="s">
        <v>184</v>
      </c>
      <c r="D49" s="256" t="s">
        <v>184</v>
      </c>
      <c r="E49" s="256">
        <v>-10</v>
      </c>
      <c r="F49" s="256" t="s">
        <v>184</v>
      </c>
      <c r="G49" s="51" t="e">
        <f t="shared" si="2"/>
        <v>#VALUE!</v>
      </c>
      <c r="H49" s="69" t="e">
        <f t="shared" si="3"/>
        <v>#VALUE!</v>
      </c>
      <c r="I49" s="305"/>
      <c r="J49" s="305"/>
      <c r="K49" s="305"/>
      <c r="L49" s="305"/>
      <c r="M49" s="305"/>
      <c r="N49" s="305"/>
      <c r="O49" s="252"/>
    </row>
    <row r="50" spans="1:15" s="2" customFormat="1" ht="20.100000000000001" customHeight="1">
      <c r="A50" s="228" t="s">
        <v>206</v>
      </c>
      <c r="B50" s="6">
        <v>1045</v>
      </c>
      <c r="C50" s="51" t="s">
        <v>184</v>
      </c>
      <c r="D50" s="256" t="s">
        <v>184</v>
      </c>
      <c r="E50" s="256" t="s">
        <v>184</v>
      </c>
      <c r="F50" s="256" t="s">
        <v>184</v>
      </c>
      <c r="G50" s="51" t="e">
        <f t="shared" si="2"/>
        <v>#VALUE!</v>
      </c>
      <c r="H50" s="69" t="e">
        <f t="shared" si="3"/>
        <v>#VALUE!</v>
      </c>
      <c r="I50" s="305"/>
      <c r="J50" s="305"/>
      <c r="K50" s="305"/>
      <c r="L50" s="305"/>
      <c r="M50" s="305"/>
      <c r="N50" s="305"/>
      <c r="O50" s="252"/>
    </row>
    <row r="51" spans="1:15" s="2" customFormat="1" ht="20.100000000000001" customHeight="1">
      <c r="A51" s="228" t="s">
        <v>207</v>
      </c>
      <c r="B51" s="6">
        <v>1046</v>
      </c>
      <c r="C51" s="51" t="s">
        <v>184</v>
      </c>
      <c r="D51" s="256" t="s">
        <v>184</v>
      </c>
      <c r="E51" s="256" t="s">
        <v>184</v>
      </c>
      <c r="F51" s="256" t="s">
        <v>184</v>
      </c>
      <c r="G51" s="51" t="e">
        <f t="shared" si="2"/>
        <v>#VALUE!</v>
      </c>
      <c r="H51" s="69" t="e">
        <f t="shared" si="3"/>
        <v>#VALUE!</v>
      </c>
      <c r="I51" s="305"/>
      <c r="J51" s="305"/>
      <c r="K51" s="305"/>
      <c r="L51" s="305"/>
      <c r="M51" s="305"/>
      <c r="N51" s="305"/>
      <c r="O51" s="252"/>
    </row>
    <row r="52" spans="1:15" s="2" customFormat="1" ht="20.100000000000001" customHeight="1">
      <c r="A52" s="228" t="s">
        <v>208</v>
      </c>
      <c r="B52" s="6">
        <v>1047</v>
      </c>
      <c r="C52" s="51" t="s">
        <v>184</v>
      </c>
      <c r="D52" s="256" t="s">
        <v>184</v>
      </c>
      <c r="E52" s="256" t="s">
        <v>184</v>
      </c>
      <c r="F52" s="256" t="s">
        <v>184</v>
      </c>
      <c r="G52" s="51" t="e">
        <f t="shared" si="2"/>
        <v>#VALUE!</v>
      </c>
      <c r="H52" s="69" t="e">
        <f t="shared" si="3"/>
        <v>#VALUE!</v>
      </c>
      <c r="I52" s="305"/>
      <c r="J52" s="305"/>
      <c r="K52" s="305"/>
      <c r="L52" s="305"/>
      <c r="M52" s="305"/>
      <c r="N52" s="305"/>
      <c r="O52" s="252"/>
    </row>
    <row r="53" spans="1:15" s="2" customFormat="1" ht="20.100000000000001" customHeight="1">
      <c r="A53" s="228" t="s">
        <v>209</v>
      </c>
      <c r="B53" s="6">
        <v>1048</v>
      </c>
      <c r="C53" s="51" t="s">
        <v>184</v>
      </c>
      <c r="D53" s="256" t="s">
        <v>184</v>
      </c>
      <c r="E53" s="256" t="s">
        <v>184</v>
      </c>
      <c r="F53" s="256" t="s">
        <v>184</v>
      </c>
      <c r="G53" s="51" t="e">
        <f t="shared" si="2"/>
        <v>#VALUE!</v>
      </c>
      <c r="H53" s="69" t="e">
        <f t="shared" si="3"/>
        <v>#VALUE!</v>
      </c>
      <c r="I53" s="305"/>
      <c r="J53" s="305"/>
      <c r="K53" s="305"/>
      <c r="L53" s="305"/>
      <c r="M53" s="305"/>
      <c r="N53" s="305"/>
      <c r="O53" s="252"/>
    </row>
    <row r="54" spans="1:15" s="2" customFormat="1" ht="20.100000000000001" customHeight="1">
      <c r="A54" s="228" t="s">
        <v>210</v>
      </c>
      <c r="B54" s="6">
        <v>1049</v>
      </c>
      <c r="C54" s="51">
        <v>-2.2999999999999998</v>
      </c>
      <c r="D54" s="256" t="s">
        <v>184</v>
      </c>
      <c r="E54" s="256">
        <v>-5</v>
      </c>
      <c r="F54" s="256" t="s">
        <v>184</v>
      </c>
      <c r="G54" s="51" t="e">
        <f t="shared" si="2"/>
        <v>#VALUE!</v>
      </c>
      <c r="H54" s="69" t="e">
        <f t="shared" si="3"/>
        <v>#VALUE!</v>
      </c>
      <c r="I54" s="305"/>
      <c r="J54" s="305"/>
      <c r="K54" s="305"/>
      <c r="L54" s="305"/>
      <c r="M54" s="305"/>
      <c r="N54" s="305"/>
      <c r="O54" s="252"/>
    </row>
    <row r="55" spans="1:15" s="2" customFormat="1" ht="42.75" customHeight="1">
      <c r="A55" s="228" t="s">
        <v>211</v>
      </c>
      <c r="B55" s="6">
        <v>1050</v>
      </c>
      <c r="C55" s="51" t="s">
        <v>184</v>
      </c>
      <c r="D55" s="256">
        <f>-22+-60</f>
        <v>-82</v>
      </c>
      <c r="E55" s="256">
        <v>-25</v>
      </c>
      <c r="F55" s="256">
        <f>-22+-60</f>
        <v>-82</v>
      </c>
      <c r="G55" s="51">
        <f t="shared" si="2"/>
        <v>-57</v>
      </c>
      <c r="H55" s="69">
        <f t="shared" si="3"/>
        <v>328</v>
      </c>
      <c r="I55" s="305"/>
      <c r="J55" s="305"/>
      <c r="K55" s="305"/>
      <c r="L55" s="305"/>
      <c r="M55" s="305"/>
      <c r="N55" s="305"/>
      <c r="O55" s="252"/>
    </row>
    <row r="56" spans="1:15" s="2" customFormat="1" ht="20.100000000000001" customHeight="1">
      <c r="A56" s="228" t="s">
        <v>212</v>
      </c>
      <c r="B56" s="209" t="s">
        <v>213</v>
      </c>
      <c r="C56" s="51" t="s">
        <v>184</v>
      </c>
      <c r="D56" s="256">
        <f>-22</f>
        <v>-22</v>
      </c>
      <c r="E56" s="256" t="s">
        <v>184</v>
      </c>
      <c r="F56" s="256">
        <f>-22</f>
        <v>-22</v>
      </c>
      <c r="G56" s="51" t="e">
        <f t="shared" si="2"/>
        <v>#VALUE!</v>
      </c>
      <c r="H56" s="69" t="e">
        <f t="shared" si="3"/>
        <v>#VALUE!</v>
      </c>
      <c r="I56" s="305"/>
      <c r="J56" s="305"/>
      <c r="K56" s="305"/>
      <c r="L56" s="305"/>
      <c r="M56" s="305"/>
      <c r="N56" s="305"/>
      <c r="O56" s="252"/>
    </row>
    <row r="57" spans="1:15" s="2" customFormat="1" ht="39.75" customHeight="1">
      <c r="A57" s="228" t="s">
        <v>432</v>
      </c>
      <c r="B57" s="6">
        <v>1051</v>
      </c>
      <c r="C57" s="51">
        <v>-573.79999999999995</v>
      </c>
      <c r="D57" s="256">
        <f>-191.8+-74+-157+-141</f>
        <v>-563.79999999999995</v>
      </c>
      <c r="E57" s="256">
        <v>-385</v>
      </c>
      <c r="F57" s="256">
        <f>-191.8+-74+-157+-141</f>
        <v>-563.79999999999995</v>
      </c>
      <c r="G57" s="51">
        <f t="shared" si="2"/>
        <v>-178.79999999999995</v>
      </c>
      <c r="H57" s="69">
        <f t="shared" si="3"/>
        <v>146.44155844155844</v>
      </c>
      <c r="I57" s="305"/>
      <c r="J57" s="305"/>
      <c r="K57" s="305"/>
      <c r="L57" s="305"/>
      <c r="M57" s="305"/>
      <c r="N57" s="305"/>
      <c r="O57" s="252"/>
    </row>
    <row r="58" spans="1:15" s="5" customFormat="1" ht="20.100000000000001" customHeight="1">
      <c r="A58" s="211" t="s">
        <v>214</v>
      </c>
      <c r="B58" s="7">
        <v>1060</v>
      </c>
      <c r="C58" s="223">
        <f>SUM(C59:C65)</f>
        <v>0</v>
      </c>
      <c r="D58" s="223">
        <f>SUM(D59:D65)</f>
        <v>0</v>
      </c>
      <c r="E58" s="223">
        <f>SUM(E59:E65)</f>
        <v>0</v>
      </c>
      <c r="F58" s="223">
        <f>SUM(F59:F65)</f>
        <v>0</v>
      </c>
      <c r="G58" s="56">
        <f t="shared" si="2"/>
        <v>0</v>
      </c>
      <c r="H58" s="71" t="e">
        <f t="shared" si="3"/>
        <v>#DIV/0!</v>
      </c>
      <c r="I58" s="303"/>
      <c r="J58" s="303"/>
      <c r="K58" s="303"/>
      <c r="L58" s="303"/>
      <c r="M58" s="303"/>
      <c r="N58" s="303"/>
      <c r="O58" s="251"/>
    </row>
    <row r="59" spans="1:15" s="2" customFormat="1" ht="20.100000000000001" customHeight="1">
      <c r="A59" s="228" t="s">
        <v>215</v>
      </c>
      <c r="B59" s="6">
        <v>1061</v>
      </c>
      <c r="C59" s="51" t="s">
        <v>184</v>
      </c>
      <c r="D59" s="51" t="s">
        <v>184</v>
      </c>
      <c r="E59" s="51" t="s">
        <v>184</v>
      </c>
      <c r="F59" s="51" t="s">
        <v>184</v>
      </c>
      <c r="G59" s="51" t="e">
        <f t="shared" si="2"/>
        <v>#VALUE!</v>
      </c>
      <c r="H59" s="69" t="e">
        <f t="shared" si="3"/>
        <v>#VALUE!</v>
      </c>
      <c r="I59" s="305"/>
      <c r="J59" s="305"/>
      <c r="K59" s="305"/>
      <c r="L59" s="305"/>
      <c r="M59" s="305"/>
      <c r="N59" s="305"/>
      <c r="O59" s="252"/>
    </row>
    <row r="60" spans="1:15" s="2" customFormat="1" ht="20.100000000000001" customHeight="1">
      <c r="A60" s="228" t="s">
        <v>216</v>
      </c>
      <c r="B60" s="6">
        <v>1062</v>
      </c>
      <c r="C60" s="51" t="s">
        <v>184</v>
      </c>
      <c r="D60" s="51" t="s">
        <v>184</v>
      </c>
      <c r="E60" s="51" t="s">
        <v>184</v>
      </c>
      <c r="F60" s="51" t="s">
        <v>184</v>
      </c>
      <c r="G60" s="51" t="e">
        <f t="shared" si="2"/>
        <v>#VALUE!</v>
      </c>
      <c r="H60" s="69" t="e">
        <f t="shared" si="3"/>
        <v>#VALUE!</v>
      </c>
      <c r="I60" s="305"/>
      <c r="J60" s="305"/>
      <c r="K60" s="305"/>
      <c r="L60" s="305"/>
      <c r="M60" s="305"/>
      <c r="N60" s="305"/>
      <c r="O60" s="252"/>
    </row>
    <row r="61" spans="1:15" s="2" customFormat="1" ht="20.100000000000001" customHeight="1">
      <c r="A61" s="228" t="s">
        <v>199</v>
      </c>
      <c r="B61" s="6">
        <v>1063</v>
      </c>
      <c r="C61" s="51" t="s">
        <v>184</v>
      </c>
      <c r="D61" s="51" t="s">
        <v>184</v>
      </c>
      <c r="E61" s="51" t="s">
        <v>184</v>
      </c>
      <c r="F61" s="51" t="s">
        <v>184</v>
      </c>
      <c r="G61" s="51" t="e">
        <f t="shared" si="2"/>
        <v>#VALUE!</v>
      </c>
      <c r="H61" s="69" t="e">
        <f t="shared" si="3"/>
        <v>#VALUE!</v>
      </c>
      <c r="I61" s="305"/>
      <c r="J61" s="305"/>
      <c r="K61" s="305"/>
      <c r="L61" s="305"/>
      <c r="M61" s="305"/>
      <c r="N61" s="305"/>
      <c r="O61" s="252"/>
    </row>
    <row r="62" spans="1:15" s="2" customFormat="1" ht="20.100000000000001" customHeight="1">
      <c r="A62" s="228" t="s">
        <v>200</v>
      </c>
      <c r="B62" s="6">
        <v>1064</v>
      </c>
      <c r="C62" s="51" t="s">
        <v>184</v>
      </c>
      <c r="D62" s="51" t="s">
        <v>184</v>
      </c>
      <c r="E62" s="51" t="s">
        <v>184</v>
      </c>
      <c r="F62" s="51" t="s">
        <v>184</v>
      </c>
      <c r="G62" s="51" t="e">
        <f t="shared" si="2"/>
        <v>#VALUE!</v>
      </c>
      <c r="H62" s="69" t="e">
        <f t="shared" si="3"/>
        <v>#VALUE!</v>
      </c>
      <c r="I62" s="305"/>
      <c r="J62" s="305"/>
      <c r="K62" s="305"/>
      <c r="L62" s="305"/>
      <c r="M62" s="305"/>
      <c r="N62" s="305"/>
      <c r="O62" s="252"/>
    </row>
    <row r="63" spans="1:15" s="2" customFormat="1" ht="20.100000000000001" customHeight="1">
      <c r="A63" s="228" t="s">
        <v>217</v>
      </c>
      <c r="B63" s="6">
        <v>1065</v>
      </c>
      <c r="C63" s="51" t="s">
        <v>184</v>
      </c>
      <c r="D63" s="51" t="s">
        <v>184</v>
      </c>
      <c r="E63" s="51" t="s">
        <v>184</v>
      </c>
      <c r="F63" s="51" t="s">
        <v>184</v>
      </c>
      <c r="G63" s="51" t="e">
        <f t="shared" si="2"/>
        <v>#VALUE!</v>
      </c>
      <c r="H63" s="69" t="e">
        <f t="shared" si="3"/>
        <v>#VALUE!</v>
      </c>
      <c r="I63" s="305"/>
      <c r="J63" s="305"/>
      <c r="K63" s="305"/>
      <c r="L63" s="305"/>
      <c r="M63" s="305"/>
      <c r="N63" s="305"/>
      <c r="O63" s="252"/>
    </row>
    <row r="64" spans="1:15" s="2" customFormat="1" ht="20.100000000000001" customHeight="1">
      <c r="A64" s="228" t="s">
        <v>218</v>
      </c>
      <c r="B64" s="6">
        <v>1066</v>
      </c>
      <c r="C64" s="51" t="s">
        <v>184</v>
      </c>
      <c r="D64" s="51" t="s">
        <v>184</v>
      </c>
      <c r="E64" s="51" t="s">
        <v>184</v>
      </c>
      <c r="F64" s="51" t="s">
        <v>184</v>
      </c>
      <c r="G64" s="51" t="e">
        <f t="shared" si="2"/>
        <v>#VALUE!</v>
      </c>
      <c r="H64" s="69" t="e">
        <f t="shared" si="3"/>
        <v>#VALUE!</v>
      </c>
      <c r="I64" s="305"/>
      <c r="J64" s="305"/>
      <c r="K64" s="305"/>
      <c r="L64" s="305"/>
      <c r="M64" s="305"/>
      <c r="N64" s="305"/>
      <c r="O64" s="252"/>
    </row>
    <row r="65" spans="1:15" s="2" customFormat="1" ht="20.100000000000001" customHeight="1">
      <c r="A65" s="228" t="s">
        <v>219</v>
      </c>
      <c r="B65" s="6">
        <v>1067</v>
      </c>
      <c r="C65" s="51" t="s">
        <v>184</v>
      </c>
      <c r="D65" s="51" t="s">
        <v>184</v>
      </c>
      <c r="E65" s="51" t="s">
        <v>184</v>
      </c>
      <c r="F65" s="51" t="s">
        <v>184</v>
      </c>
      <c r="G65" s="51" t="e">
        <f t="shared" si="2"/>
        <v>#VALUE!</v>
      </c>
      <c r="H65" s="69" t="e">
        <f t="shared" si="3"/>
        <v>#VALUE!</v>
      </c>
      <c r="I65" s="305"/>
      <c r="J65" s="305"/>
      <c r="K65" s="305"/>
      <c r="L65" s="305"/>
      <c r="M65" s="305"/>
      <c r="N65" s="305"/>
      <c r="O65" s="252"/>
    </row>
    <row r="66" spans="1:15" s="11" customFormat="1" ht="20.100000000000001" customHeight="1">
      <c r="A66" s="211" t="s">
        <v>220</v>
      </c>
      <c r="B66" s="7">
        <v>1070</v>
      </c>
      <c r="C66" s="223">
        <f>SUM(C67:C69)</f>
        <v>1887.8</v>
      </c>
      <c r="D66" s="263">
        <f>SUM(D67:D73)</f>
        <v>1735.3000000000002</v>
      </c>
      <c r="E66" s="223">
        <f>SUM(E67:E69)</f>
        <v>2320</v>
      </c>
      <c r="F66" s="263">
        <f>SUM(F67:F73)</f>
        <v>1735.3000000000002</v>
      </c>
      <c r="G66" s="56">
        <f t="shared" si="2"/>
        <v>-584.69999999999982</v>
      </c>
      <c r="H66" s="71">
        <f t="shared" si="3"/>
        <v>74.797413793103445</v>
      </c>
      <c r="I66" s="303"/>
      <c r="J66" s="303"/>
      <c r="K66" s="303"/>
      <c r="L66" s="303"/>
      <c r="M66" s="303"/>
      <c r="N66" s="303"/>
      <c r="O66" s="251"/>
    </row>
    <row r="67" spans="1:15" s="2" customFormat="1" ht="37.5">
      <c r="A67" s="228" t="s">
        <v>439</v>
      </c>
      <c r="B67" s="6">
        <v>1071</v>
      </c>
      <c r="C67" s="51"/>
      <c r="D67" s="51">
        <v>34.9</v>
      </c>
      <c r="E67" s="51"/>
      <c r="F67" s="51">
        <v>34.9</v>
      </c>
      <c r="G67" s="51">
        <f t="shared" si="2"/>
        <v>34.9</v>
      </c>
      <c r="H67" s="69" t="e">
        <f t="shared" si="3"/>
        <v>#DIV/0!</v>
      </c>
      <c r="I67" s="305"/>
      <c r="J67" s="305"/>
      <c r="K67" s="305"/>
      <c r="L67" s="305"/>
      <c r="M67" s="305"/>
      <c r="N67" s="305"/>
      <c r="O67" s="252"/>
    </row>
    <row r="68" spans="1:15" s="2" customFormat="1" ht="20.100000000000001" customHeight="1">
      <c r="A68" s="228" t="s">
        <v>222</v>
      </c>
      <c r="B68" s="6">
        <v>1072</v>
      </c>
      <c r="C68" s="51"/>
      <c r="D68" s="51"/>
      <c r="E68" s="51"/>
      <c r="F68" s="51"/>
      <c r="G68" s="51">
        <f t="shared" si="2"/>
        <v>0</v>
      </c>
      <c r="H68" s="69" t="e">
        <f t="shared" si="3"/>
        <v>#DIV/0!</v>
      </c>
      <c r="I68" s="305"/>
      <c r="J68" s="305"/>
      <c r="K68" s="305"/>
      <c r="L68" s="305"/>
      <c r="M68" s="305"/>
      <c r="N68" s="305"/>
      <c r="O68" s="252"/>
    </row>
    <row r="69" spans="1:15" s="2" customFormat="1" ht="20.100000000000001" customHeight="1">
      <c r="A69" s="264" t="s">
        <v>440</v>
      </c>
      <c r="B69" s="6">
        <v>1073</v>
      </c>
      <c r="C69" s="51">
        <v>1887.8</v>
      </c>
      <c r="D69" s="256">
        <v>206</v>
      </c>
      <c r="E69" s="256">
        <v>2320</v>
      </c>
      <c r="F69" s="256">
        <v>206</v>
      </c>
      <c r="G69" s="51">
        <f t="shared" si="2"/>
        <v>-2114</v>
      </c>
      <c r="H69" s="69">
        <f t="shared" si="3"/>
        <v>8.8793103448275854</v>
      </c>
      <c r="I69" s="326"/>
      <c r="J69" s="327"/>
      <c r="K69" s="327"/>
      <c r="L69" s="327"/>
      <c r="M69" s="327"/>
      <c r="N69" s="328"/>
      <c r="O69" s="252"/>
    </row>
    <row r="70" spans="1:15" s="2" customFormat="1" ht="72" customHeight="1">
      <c r="A70" s="264" t="s">
        <v>441</v>
      </c>
      <c r="B70" s="6">
        <v>1074</v>
      </c>
      <c r="C70" s="51"/>
      <c r="D70" s="256">
        <v>1162</v>
      </c>
      <c r="E70" s="256"/>
      <c r="F70" s="256">
        <v>1162</v>
      </c>
      <c r="G70" s="51">
        <f>F69-E70</f>
        <v>206</v>
      </c>
      <c r="H70" s="69" t="e">
        <f>(F69/E70)*100</f>
        <v>#DIV/0!</v>
      </c>
      <c r="I70" s="262"/>
      <c r="J70" s="262"/>
      <c r="K70" s="262"/>
      <c r="L70" s="262"/>
      <c r="M70" s="262"/>
      <c r="N70" s="262"/>
      <c r="O70" s="252"/>
    </row>
    <row r="71" spans="1:15" s="2" customFormat="1" ht="48.75" customHeight="1">
      <c r="A71" s="264" t="s">
        <v>442</v>
      </c>
      <c r="B71" s="6">
        <v>1075</v>
      </c>
      <c r="C71" s="51"/>
      <c r="D71" s="256">
        <v>160</v>
      </c>
      <c r="E71" s="256"/>
      <c r="F71" s="256">
        <v>160</v>
      </c>
      <c r="G71" s="51">
        <f>F70-E71</f>
        <v>1162</v>
      </c>
      <c r="H71" s="69" t="e">
        <f>(F70/E71)*100</f>
        <v>#DIV/0!</v>
      </c>
      <c r="I71" s="262"/>
      <c r="J71" s="262"/>
      <c r="K71" s="262"/>
      <c r="L71" s="262"/>
      <c r="M71" s="262"/>
      <c r="N71" s="262"/>
      <c r="O71" s="252"/>
    </row>
    <row r="72" spans="1:15" s="2" customFormat="1" ht="39.75" customHeight="1">
      <c r="A72" s="264" t="s">
        <v>444</v>
      </c>
      <c r="B72" s="6">
        <v>1076</v>
      </c>
      <c r="C72" s="51"/>
      <c r="D72" s="256">
        <v>119</v>
      </c>
      <c r="E72" s="256"/>
      <c r="F72" s="256">
        <v>119</v>
      </c>
      <c r="G72" s="51">
        <f>F71-E72</f>
        <v>160</v>
      </c>
      <c r="H72" s="69" t="e">
        <f>(F71/E72)*100</f>
        <v>#DIV/0!</v>
      </c>
      <c r="I72" s="262"/>
      <c r="J72" s="262"/>
      <c r="K72" s="262"/>
      <c r="L72" s="262"/>
      <c r="M72" s="262"/>
      <c r="N72" s="262"/>
      <c r="O72" s="252"/>
    </row>
    <row r="73" spans="1:15" s="2" customFormat="1" ht="20.100000000000001" customHeight="1">
      <c r="A73" s="264" t="s">
        <v>443</v>
      </c>
      <c r="B73" s="6">
        <v>1077</v>
      </c>
      <c r="C73" s="51"/>
      <c r="D73" s="256">
        <v>53.4</v>
      </c>
      <c r="E73" s="256"/>
      <c r="F73" s="256">
        <v>53.4</v>
      </c>
      <c r="G73" s="51">
        <f>F72-E73</f>
        <v>119</v>
      </c>
      <c r="H73" s="69" t="e">
        <f>(F72/E73)*100</f>
        <v>#DIV/0!</v>
      </c>
      <c r="I73" s="262"/>
      <c r="J73" s="262"/>
      <c r="K73" s="262"/>
      <c r="L73" s="262"/>
      <c r="M73" s="262"/>
      <c r="N73" s="262"/>
      <c r="O73" s="252"/>
    </row>
    <row r="74" spans="1:15" s="11" customFormat="1" ht="20.100000000000001" customHeight="1">
      <c r="A74" s="101" t="s">
        <v>223</v>
      </c>
      <c r="B74" s="7">
        <v>1080</v>
      </c>
      <c r="C74" s="223">
        <f>SUM(C75:C80)</f>
        <v>-255.4</v>
      </c>
      <c r="D74" s="223">
        <f>SUM(D75:D80)</f>
        <v>-301.39999999999998</v>
      </c>
      <c r="E74" s="223">
        <f>SUM(E75:E80)</f>
        <v>-250</v>
      </c>
      <c r="F74" s="223">
        <f>SUM(F75:F80)</f>
        <v>-301.39999999999998</v>
      </c>
      <c r="G74" s="56">
        <f t="shared" si="2"/>
        <v>-51.399999999999977</v>
      </c>
      <c r="H74" s="71">
        <f t="shared" si="3"/>
        <v>120.56</v>
      </c>
      <c r="I74" s="303"/>
      <c r="J74" s="303"/>
      <c r="K74" s="303"/>
      <c r="L74" s="303"/>
      <c r="M74" s="303"/>
      <c r="N74" s="303"/>
      <c r="O74" s="251"/>
    </row>
    <row r="75" spans="1:15" s="2" customFormat="1" ht="20.100000000000001" customHeight="1">
      <c r="A75" s="228" t="s">
        <v>221</v>
      </c>
      <c r="B75" s="6">
        <v>1081</v>
      </c>
      <c r="C75" s="51" t="s">
        <v>184</v>
      </c>
      <c r="D75" s="51" t="s">
        <v>184</v>
      </c>
      <c r="E75" s="51" t="s">
        <v>184</v>
      </c>
      <c r="F75" s="51" t="s">
        <v>184</v>
      </c>
      <c r="G75" s="56" t="e">
        <f t="shared" si="2"/>
        <v>#VALUE!</v>
      </c>
      <c r="H75" s="71" t="e">
        <f t="shared" si="3"/>
        <v>#VALUE!</v>
      </c>
      <c r="I75" s="305"/>
      <c r="J75" s="305"/>
      <c r="K75" s="305"/>
      <c r="L75" s="305"/>
      <c r="M75" s="305"/>
      <c r="N75" s="305"/>
      <c r="O75" s="252"/>
    </row>
    <row r="76" spans="1:15" s="2" customFormat="1" ht="20.100000000000001" customHeight="1">
      <c r="A76" s="228" t="s">
        <v>224</v>
      </c>
      <c r="B76" s="6">
        <v>1082</v>
      </c>
      <c r="C76" s="51" t="s">
        <v>184</v>
      </c>
      <c r="D76" s="51" t="s">
        <v>184</v>
      </c>
      <c r="E76" s="51" t="s">
        <v>184</v>
      </c>
      <c r="F76" s="51" t="s">
        <v>184</v>
      </c>
      <c r="G76" s="56" t="e">
        <f t="shared" si="2"/>
        <v>#VALUE!</v>
      </c>
      <c r="H76" s="71" t="e">
        <f t="shared" si="3"/>
        <v>#VALUE!</v>
      </c>
      <c r="I76" s="305"/>
      <c r="J76" s="305"/>
      <c r="K76" s="305"/>
      <c r="L76" s="305"/>
      <c r="M76" s="305"/>
      <c r="N76" s="305"/>
      <c r="O76" s="252"/>
    </row>
    <row r="77" spans="1:15" s="2" customFormat="1" ht="20.100000000000001" customHeight="1">
      <c r="A77" s="228" t="s">
        <v>225</v>
      </c>
      <c r="B77" s="6">
        <v>1083</v>
      </c>
      <c r="C77" s="51" t="s">
        <v>184</v>
      </c>
      <c r="D77" s="51" t="s">
        <v>184</v>
      </c>
      <c r="E77" s="51" t="s">
        <v>184</v>
      </c>
      <c r="F77" s="51" t="s">
        <v>184</v>
      </c>
      <c r="G77" s="56" t="e">
        <f t="shared" si="2"/>
        <v>#VALUE!</v>
      </c>
      <c r="H77" s="71" t="e">
        <f t="shared" si="3"/>
        <v>#VALUE!</v>
      </c>
      <c r="I77" s="305"/>
      <c r="J77" s="305"/>
      <c r="K77" s="305"/>
      <c r="L77" s="305"/>
      <c r="M77" s="305"/>
      <c r="N77" s="305"/>
      <c r="O77" s="252"/>
    </row>
    <row r="78" spans="1:15" s="2" customFormat="1" ht="20.100000000000001" customHeight="1">
      <c r="A78" s="228" t="s">
        <v>226</v>
      </c>
      <c r="B78" s="6">
        <v>1084</v>
      </c>
      <c r="C78" s="51" t="s">
        <v>184</v>
      </c>
      <c r="D78" s="51" t="s">
        <v>184</v>
      </c>
      <c r="E78" s="51" t="s">
        <v>184</v>
      </c>
      <c r="F78" s="51" t="s">
        <v>184</v>
      </c>
      <c r="G78" s="56" t="e">
        <f t="shared" si="2"/>
        <v>#VALUE!</v>
      </c>
      <c r="H78" s="71" t="e">
        <f t="shared" si="3"/>
        <v>#VALUE!</v>
      </c>
      <c r="I78" s="305"/>
      <c r="J78" s="305"/>
      <c r="K78" s="305"/>
      <c r="L78" s="305"/>
      <c r="M78" s="305"/>
      <c r="N78" s="305"/>
      <c r="O78" s="252"/>
    </row>
    <row r="79" spans="1:15" s="2" customFormat="1" ht="20.100000000000001" customHeight="1">
      <c r="A79" s="228" t="s">
        <v>227</v>
      </c>
      <c r="B79" s="6">
        <v>1085</v>
      </c>
      <c r="C79" s="51" t="s">
        <v>184</v>
      </c>
      <c r="D79" s="256" t="s">
        <v>184</v>
      </c>
      <c r="E79" s="256" t="s">
        <v>184</v>
      </c>
      <c r="F79" s="256" t="s">
        <v>184</v>
      </c>
      <c r="G79" s="56" t="e">
        <f t="shared" si="2"/>
        <v>#VALUE!</v>
      </c>
      <c r="H79" s="71" t="e">
        <f t="shared" si="3"/>
        <v>#VALUE!</v>
      </c>
      <c r="I79" s="305"/>
      <c r="J79" s="305"/>
      <c r="K79" s="305"/>
      <c r="L79" s="305"/>
      <c r="M79" s="305"/>
      <c r="N79" s="305"/>
      <c r="O79" s="252"/>
    </row>
    <row r="80" spans="1:15" s="2" customFormat="1" ht="20.100000000000001" customHeight="1">
      <c r="A80" s="228" t="s">
        <v>409</v>
      </c>
      <c r="B80" s="6">
        <v>1086</v>
      </c>
      <c r="C80" s="51">
        <v>-255.4</v>
      </c>
      <c r="D80" s="256">
        <f>-53.1+-67.3+-93+-88</f>
        <v>-301.39999999999998</v>
      </c>
      <c r="E80" s="256">
        <v>-250</v>
      </c>
      <c r="F80" s="256">
        <f>-53.1+-67.3+-93+-88</f>
        <v>-301.39999999999998</v>
      </c>
      <c r="G80" s="56">
        <f>F80-E80</f>
        <v>-51.399999999999977</v>
      </c>
      <c r="H80" s="71">
        <f t="shared" si="3"/>
        <v>120.56</v>
      </c>
      <c r="I80" s="305"/>
      <c r="J80" s="305"/>
      <c r="K80" s="305"/>
      <c r="L80" s="305"/>
      <c r="M80" s="305"/>
      <c r="N80" s="305"/>
      <c r="O80" s="252"/>
    </row>
    <row r="81" spans="1:15" s="5" customFormat="1" ht="20.100000000000001" customHeight="1">
      <c r="A81" s="211" t="s">
        <v>228</v>
      </c>
      <c r="B81" s="7">
        <v>1100</v>
      </c>
      <c r="C81" s="223">
        <f>SUM(C34,C35,C58,C66,C74)</f>
        <v>1566.300000000005</v>
      </c>
      <c r="D81" s="223">
        <f>SUM(D34,D35,D58,D66,D74)</f>
        <v>1655.2999999999979</v>
      </c>
      <c r="E81" s="223">
        <f>SUM(E34,E35,E58,E66,E74)</f>
        <v>-96</v>
      </c>
      <c r="F81" s="223">
        <f>SUM(F34,F35,F58,F66,F74)</f>
        <v>1655.2999999999979</v>
      </c>
      <c r="G81" s="56">
        <f t="shared" si="2"/>
        <v>1751.2999999999979</v>
      </c>
      <c r="H81" s="71">
        <f t="shared" si="3"/>
        <v>-1724.2708333333312</v>
      </c>
      <c r="I81" s="303"/>
      <c r="J81" s="303"/>
      <c r="K81" s="303"/>
      <c r="L81" s="303"/>
      <c r="M81" s="303"/>
      <c r="N81" s="303"/>
      <c r="O81" s="251"/>
    </row>
    <row r="82" spans="1:15" s="5" customFormat="1" ht="20.100000000000001" customHeight="1">
      <c r="A82" s="211" t="s">
        <v>229</v>
      </c>
      <c r="B82" s="7">
        <v>1110</v>
      </c>
      <c r="C82" s="56"/>
      <c r="D82" s="56"/>
      <c r="E82" s="56"/>
      <c r="F82" s="56"/>
      <c r="G82" s="56">
        <f t="shared" si="2"/>
        <v>0</v>
      </c>
      <c r="H82" s="71" t="e">
        <f t="shared" si="3"/>
        <v>#DIV/0!</v>
      </c>
      <c r="I82" s="303"/>
      <c r="J82" s="303"/>
      <c r="K82" s="303"/>
      <c r="L82" s="303"/>
      <c r="M82" s="303"/>
      <c r="N82" s="303"/>
      <c r="O82" s="251"/>
    </row>
    <row r="83" spans="1:15" s="5" customFormat="1" ht="20.100000000000001" customHeight="1">
      <c r="A83" s="211" t="s">
        <v>230</v>
      </c>
      <c r="B83" s="7">
        <v>1120</v>
      </c>
      <c r="C83" s="56" t="s">
        <v>184</v>
      </c>
      <c r="D83" s="56" t="s">
        <v>184</v>
      </c>
      <c r="E83" s="56" t="s">
        <v>184</v>
      </c>
      <c r="F83" s="56" t="s">
        <v>184</v>
      </c>
      <c r="G83" s="56" t="e">
        <f t="shared" si="2"/>
        <v>#VALUE!</v>
      </c>
      <c r="H83" s="71" t="e">
        <f t="shared" si="3"/>
        <v>#VALUE!</v>
      </c>
      <c r="I83" s="303"/>
      <c r="J83" s="303"/>
      <c r="K83" s="303"/>
      <c r="L83" s="303"/>
      <c r="M83" s="303"/>
      <c r="N83" s="303"/>
      <c r="O83" s="251"/>
    </row>
    <row r="84" spans="1:15" s="5" customFormat="1" ht="20.100000000000001" customHeight="1">
      <c r="A84" s="211" t="s">
        <v>231</v>
      </c>
      <c r="B84" s="7">
        <v>1130</v>
      </c>
      <c r="C84" s="56"/>
      <c r="D84" s="56"/>
      <c r="E84" s="56"/>
      <c r="F84" s="56"/>
      <c r="G84" s="56">
        <f t="shared" si="2"/>
        <v>0</v>
      </c>
      <c r="H84" s="71" t="e">
        <f t="shared" si="3"/>
        <v>#DIV/0!</v>
      </c>
      <c r="I84" s="303"/>
      <c r="J84" s="303"/>
      <c r="K84" s="303"/>
      <c r="L84" s="303"/>
      <c r="M84" s="303"/>
      <c r="N84" s="303"/>
      <c r="O84" s="251"/>
    </row>
    <row r="85" spans="1:15" s="5" customFormat="1" ht="20.100000000000001" customHeight="1">
      <c r="A85" s="211" t="s">
        <v>232</v>
      </c>
      <c r="B85" s="7">
        <v>1140</v>
      </c>
      <c r="C85" s="56" t="s">
        <v>184</v>
      </c>
      <c r="D85" s="56" t="s">
        <v>184</v>
      </c>
      <c r="E85" s="56" t="s">
        <v>184</v>
      </c>
      <c r="F85" s="56" t="s">
        <v>184</v>
      </c>
      <c r="G85" s="56" t="e">
        <f t="shared" si="2"/>
        <v>#VALUE!</v>
      </c>
      <c r="H85" s="71" t="e">
        <f t="shared" si="3"/>
        <v>#VALUE!</v>
      </c>
      <c r="I85" s="303"/>
      <c r="J85" s="303"/>
      <c r="K85" s="303"/>
      <c r="L85" s="303"/>
      <c r="M85" s="303"/>
      <c r="N85" s="303"/>
      <c r="O85" s="251"/>
    </row>
    <row r="86" spans="1:15" s="5" customFormat="1" ht="20.100000000000001" customHeight="1">
      <c r="A86" s="211" t="s">
        <v>233</v>
      </c>
      <c r="B86" s="7">
        <v>1150</v>
      </c>
      <c r="C86" s="223">
        <f>SUM(C87:C88)</f>
        <v>319.89999999999998</v>
      </c>
      <c r="D86" s="223">
        <f>SUM(D87:D88)</f>
        <v>455.2</v>
      </c>
      <c r="E86" s="223">
        <f>SUM(E87:E88)</f>
        <v>300</v>
      </c>
      <c r="F86" s="223">
        <f>SUM(F87:F88)</f>
        <v>455.2</v>
      </c>
      <c r="G86" s="56">
        <f t="shared" si="2"/>
        <v>155.19999999999999</v>
      </c>
      <c r="H86" s="71">
        <f t="shared" si="3"/>
        <v>151.73333333333332</v>
      </c>
      <c r="I86" s="303"/>
      <c r="J86" s="303"/>
      <c r="K86" s="303"/>
      <c r="L86" s="303"/>
      <c r="M86" s="303"/>
      <c r="N86" s="303"/>
      <c r="O86" s="251"/>
    </row>
    <row r="87" spans="1:15" ht="20.100000000000001" customHeight="1">
      <c r="A87" s="228" t="s">
        <v>221</v>
      </c>
      <c r="B87" s="6">
        <v>1151</v>
      </c>
      <c r="C87" s="51"/>
      <c r="D87" s="51"/>
      <c r="E87" s="51"/>
      <c r="F87" s="51"/>
      <c r="G87" s="51">
        <f t="shared" si="2"/>
        <v>0</v>
      </c>
      <c r="H87" s="69" t="e">
        <f t="shared" si="3"/>
        <v>#DIV/0!</v>
      </c>
      <c r="I87" s="305"/>
      <c r="J87" s="305"/>
      <c r="K87" s="305"/>
      <c r="L87" s="305"/>
      <c r="M87" s="305"/>
      <c r="N87" s="305"/>
      <c r="O87" s="252"/>
    </row>
    <row r="88" spans="1:15" ht="20.100000000000001" customHeight="1">
      <c r="A88" s="228" t="s">
        <v>410</v>
      </c>
      <c r="B88" s="6">
        <v>1152</v>
      </c>
      <c r="C88" s="51">
        <v>319.89999999999998</v>
      </c>
      <c r="D88" s="51">
        <f>83+99.2+127+146</f>
        <v>455.2</v>
      </c>
      <c r="E88" s="51">
        <v>300</v>
      </c>
      <c r="F88" s="51">
        <f>83+99.2+127+146</f>
        <v>455.2</v>
      </c>
      <c r="G88" s="51">
        <f t="shared" si="2"/>
        <v>155.19999999999999</v>
      </c>
      <c r="H88" s="69">
        <f t="shared" si="3"/>
        <v>151.73333333333332</v>
      </c>
      <c r="I88" s="305" t="s">
        <v>411</v>
      </c>
      <c r="J88" s="305"/>
      <c r="K88" s="305"/>
      <c r="L88" s="305"/>
      <c r="M88" s="305"/>
      <c r="N88" s="305"/>
      <c r="O88" s="252"/>
    </row>
    <row r="89" spans="1:15" s="5" customFormat="1" ht="20.100000000000001" customHeight="1">
      <c r="A89" s="211" t="s">
        <v>234</v>
      </c>
      <c r="B89" s="7">
        <v>1160</v>
      </c>
      <c r="C89" s="223">
        <f>SUM(C90:C91)</f>
        <v>0</v>
      </c>
      <c r="D89" s="223">
        <f>SUM(D90:D91)</f>
        <v>0</v>
      </c>
      <c r="E89" s="223">
        <f>SUM(E90:E91)</f>
        <v>0</v>
      </c>
      <c r="F89" s="223">
        <f>SUM(F90:F91)</f>
        <v>0</v>
      </c>
      <c r="G89" s="56">
        <f t="shared" si="2"/>
        <v>0</v>
      </c>
      <c r="H89" s="71" t="e">
        <f t="shared" si="3"/>
        <v>#DIV/0!</v>
      </c>
      <c r="I89" s="303"/>
      <c r="J89" s="303"/>
      <c r="K89" s="303"/>
      <c r="L89" s="303"/>
      <c r="M89" s="303"/>
      <c r="N89" s="303"/>
      <c r="O89" s="251"/>
    </row>
    <row r="90" spans="1:15" ht="20.100000000000001" customHeight="1">
      <c r="A90" s="228" t="s">
        <v>221</v>
      </c>
      <c r="B90" s="6">
        <v>1161</v>
      </c>
      <c r="C90" s="51" t="s">
        <v>184</v>
      </c>
      <c r="D90" s="51" t="s">
        <v>184</v>
      </c>
      <c r="E90" s="51" t="s">
        <v>184</v>
      </c>
      <c r="F90" s="51" t="s">
        <v>184</v>
      </c>
      <c r="G90" s="56" t="e">
        <f t="shared" si="2"/>
        <v>#VALUE!</v>
      </c>
      <c r="H90" s="71" t="e">
        <f t="shared" si="3"/>
        <v>#VALUE!</v>
      </c>
      <c r="I90" s="305"/>
      <c r="J90" s="305"/>
      <c r="K90" s="305"/>
      <c r="L90" s="305"/>
      <c r="M90" s="305"/>
      <c r="N90" s="305"/>
      <c r="O90" s="252"/>
    </row>
    <row r="91" spans="1:15" ht="20.100000000000001" customHeight="1">
      <c r="A91" s="228" t="s">
        <v>235</v>
      </c>
      <c r="B91" s="6">
        <v>1162</v>
      </c>
      <c r="C91" s="51" t="s">
        <v>184</v>
      </c>
      <c r="D91" s="51" t="s">
        <v>184</v>
      </c>
      <c r="E91" s="51" t="s">
        <v>184</v>
      </c>
      <c r="F91" s="51" t="s">
        <v>184</v>
      </c>
      <c r="G91" s="56" t="e">
        <f t="shared" si="2"/>
        <v>#VALUE!</v>
      </c>
      <c r="H91" s="71" t="e">
        <f t="shared" si="3"/>
        <v>#VALUE!</v>
      </c>
      <c r="I91" s="305"/>
      <c r="J91" s="305"/>
      <c r="K91" s="305"/>
      <c r="L91" s="305"/>
      <c r="M91" s="305"/>
      <c r="N91" s="305"/>
      <c r="O91" s="252"/>
    </row>
    <row r="92" spans="1:15" s="5" customFormat="1" ht="20.100000000000001" customHeight="1">
      <c r="A92" s="211" t="s">
        <v>236</v>
      </c>
      <c r="B92" s="7">
        <v>1170</v>
      </c>
      <c r="C92" s="223">
        <f>SUM(C81:C86,C89)</f>
        <v>1886.2000000000048</v>
      </c>
      <c r="D92" s="223">
        <f>SUM(D81:D86,D89)</f>
        <v>2110.4999999999977</v>
      </c>
      <c r="E92" s="223">
        <f>SUM(E81:E86,E89)</f>
        <v>204</v>
      </c>
      <c r="F92" s="223">
        <f>SUM(F81:F86,F89)</f>
        <v>2110.4999999999977</v>
      </c>
      <c r="G92" s="56">
        <f t="shared" si="2"/>
        <v>1906.4999999999977</v>
      </c>
      <c r="H92" s="71">
        <f t="shared" si="3"/>
        <v>1034.5588235294108</v>
      </c>
      <c r="I92" s="303"/>
      <c r="J92" s="303"/>
      <c r="K92" s="303"/>
      <c r="L92" s="303"/>
      <c r="M92" s="303"/>
      <c r="N92" s="303"/>
      <c r="O92" s="251"/>
    </row>
    <row r="93" spans="1:15" ht="20.100000000000001" customHeight="1">
      <c r="A93" s="228" t="s">
        <v>237</v>
      </c>
      <c r="B93" s="205">
        <v>1180</v>
      </c>
      <c r="C93" s="51" t="s">
        <v>184</v>
      </c>
      <c r="D93" s="51" t="s">
        <v>184</v>
      </c>
      <c r="E93" s="51" t="s">
        <v>184</v>
      </c>
      <c r="F93" s="51" t="s">
        <v>184</v>
      </c>
      <c r="G93" s="51" t="e">
        <f t="shared" ref="G93:G102" si="4">F93-E93</f>
        <v>#VALUE!</v>
      </c>
      <c r="H93" s="69" t="e">
        <f t="shared" ref="H93:H102" si="5">(F93/E93)*100</f>
        <v>#VALUE!</v>
      </c>
      <c r="I93" s="305"/>
      <c r="J93" s="305"/>
      <c r="K93" s="305"/>
      <c r="L93" s="305"/>
      <c r="M93" s="305"/>
      <c r="N93" s="305"/>
      <c r="O93" s="252"/>
    </row>
    <row r="94" spans="1:15" ht="20.100000000000001" customHeight="1">
      <c r="A94" s="228" t="s">
        <v>238</v>
      </c>
      <c r="B94" s="205">
        <v>1181</v>
      </c>
      <c r="C94" s="51"/>
      <c r="D94" s="51"/>
      <c r="E94" s="51"/>
      <c r="F94" s="51"/>
      <c r="G94" s="51">
        <f t="shared" si="4"/>
        <v>0</v>
      </c>
      <c r="H94" s="69" t="e">
        <f t="shared" si="5"/>
        <v>#DIV/0!</v>
      </c>
      <c r="I94" s="305"/>
      <c r="J94" s="305"/>
      <c r="K94" s="305"/>
      <c r="L94" s="305"/>
      <c r="M94" s="305"/>
      <c r="N94" s="305"/>
      <c r="O94" s="252"/>
    </row>
    <row r="95" spans="1:15" ht="20.100000000000001" customHeight="1">
      <c r="A95" s="228" t="s">
        <v>239</v>
      </c>
      <c r="B95" s="6">
        <v>1190</v>
      </c>
      <c r="C95" s="51"/>
      <c r="D95" s="51"/>
      <c r="E95" s="51"/>
      <c r="F95" s="51"/>
      <c r="G95" s="51">
        <f t="shared" si="4"/>
        <v>0</v>
      </c>
      <c r="H95" s="69" t="e">
        <f t="shared" si="5"/>
        <v>#DIV/0!</v>
      </c>
      <c r="I95" s="305"/>
      <c r="J95" s="305"/>
      <c r="K95" s="305"/>
      <c r="L95" s="305"/>
      <c r="M95" s="305"/>
      <c r="N95" s="305"/>
      <c r="O95" s="252"/>
    </row>
    <row r="96" spans="1:15" ht="20.100000000000001" customHeight="1">
      <c r="A96" s="228" t="s">
        <v>240</v>
      </c>
      <c r="B96" s="209">
        <v>1191</v>
      </c>
      <c r="C96" s="51" t="s">
        <v>184</v>
      </c>
      <c r="D96" s="51" t="s">
        <v>184</v>
      </c>
      <c r="E96" s="51" t="s">
        <v>184</v>
      </c>
      <c r="F96" s="51" t="s">
        <v>184</v>
      </c>
      <c r="G96" s="51" t="e">
        <f t="shared" si="4"/>
        <v>#VALUE!</v>
      </c>
      <c r="H96" s="69" t="e">
        <f t="shared" si="5"/>
        <v>#VALUE!</v>
      </c>
      <c r="I96" s="305"/>
      <c r="J96" s="305"/>
      <c r="K96" s="305"/>
      <c r="L96" s="305"/>
      <c r="M96" s="305"/>
      <c r="N96" s="305"/>
      <c r="O96" s="252"/>
    </row>
    <row r="97" spans="1:17" s="5" customFormat="1" ht="20.100000000000001" customHeight="1">
      <c r="A97" s="211" t="s">
        <v>241</v>
      </c>
      <c r="B97" s="7">
        <v>1200</v>
      </c>
      <c r="C97" s="223">
        <f>SUM(C92:C96)</f>
        <v>1886.2000000000048</v>
      </c>
      <c r="D97" s="223">
        <f>SUM(D92:D96)</f>
        <v>2110.4999999999977</v>
      </c>
      <c r="E97" s="223">
        <f>SUM(E92:E96)</f>
        <v>204</v>
      </c>
      <c r="F97" s="223">
        <f>SUM(F92:F96)</f>
        <v>2110.4999999999977</v>
      </c>
      <c r="G97" s="56">
        <f t="shared" si="4"/>
        <v>1906.4999999999977</v>
      </c>
      <c r="H97" s="71">
        <f t="shared" si="5"/>
        <v>1034.5588235294108</v>
      </c>
      <c r="I97" s="303"/>
      <c r="J97" s="303"/>
      <c r="K97" s="303"/>
      <c r="L97" s="303"/>
      <c r="M97" s="303"/>
      <c r="N97" s="303"/>
      <c r="O97" s="251"/>
    </row>
    <row r="98" spans="1:17" ht="45" customHeight="1">
      <c r="A98" s="228" t="s">
        <v>242</v>
      </c>
      <c r="B98" s="209">
        <v>1201</v>
      </c>
      <c r="C98" s="51">
        <v>1886.2</v>
      </c>
      <c r="D98" s="51">
        <v>2111</v>
      </c>
      <c r="E98" s="51">
        <v>204</v>
      </c>
      <c r="F98" s="51">
        <v>2111</v>
      </c>
      <c r="G98" s="56">
        <f t="shared" si="4"/>
        <v>1907</v>
      </c>
      <c r="H98" s="71">
        <f t="shared" si="5"/>
        <v>1034.8039215686274</v>
      </c>
      <c r="I98" s="304"/>
      <c r="J98" s="304"/>
      <c r="K98" s="304"/>
      <c r="L98" s="304"/>
      <c r="M98" s="304"/>
      <c r="N98" s="304"/>
      <c r="O98" s="247"/>
    </row>
    <row r="99" spans="1:17" ht="20.100000000000001" customHeight="1">
      <c r="A99" s="228" t="s">
        <v>243</v>
      </c>
      <c r="B99" s="209">
        <v>1202</v>
      </c>
      <c r="C99" s="51" t="s">
        <v>184</v>
      </c>
      <c r="D99" s="51" t="s">
        <v>184</v>
      </c>
      <c r="E99" s="51" t="s">
        <v>184</v>
      </c>
      <c r="F99" s="51" t="s">
        <v>184</v>
      </c>
      <c r="G99" s="56" t="e">
        <f t="shared" si="4"/>
        <v>#VALUE!</v>
      </c>
      <c r="H99" s="71" t="e">
        <f t="shared" si="5"/>
        <v>#VALUE!</v>
      </c>
      <c r="I99" s="304"/>
      <c r="J99" s="304"/>
      <c r="K99" s="304"/>
      <c r="L99" s="304"/>
      <c r="M99" s="304"/>
      <c r="N99" s="304"/>
      <c r="O99" s="247"/>
    </row>
    <row r="100" spans="1:17" s="5" customFormat="1" ht="20.100000000000001" customHeight="1">
      <c r="A100" s="211" t="s">
        <v>244</v>
      </c>
      <c r="B100" s="7">
        <v>1210</v>
      </c>
      <c r="C100" s="223">
        <f>SUM(C23,C66,C82,C84,C86,C94,C95)</f>
        <v>24313.200000000001</v>
      </c>
      <c r="D100" s="223">
        <f>SUM(D23,D66,D82,D84,D86,D94,D95)</f>
        <v>27838</v>
      </c>
      <c r="E100" s="223">
        <f>SUM(E23,E66,E82,E84,E86,E94,E95)</f>
        <v>27550</v>
      </c>
      <c r="F100" s="223">
        <f>SUM(F23,F66,F82,F84,F86,F94,F95)</f>
        <v>27838</v>
      </c>
      <c r="G100" s="56">
        <f t="shared" si="4"/>
        <v>288</v>
      </c>
      <c r="H100" s="71">
        <f t="shared" si="5"/>
        <v>101.0453720508167</v>
      </c>
      <c r="I100" s="303"/>
      <c r="J100" s="303"/>
      <c r="K100" s="303"/>
      <c r="L100" s="303"/>
      <c r="M100" s="303"/>
      <c r="N100" s="303"/>
      <c r="O100" s="251"/>
    </row>
    <row r="101" spans="1:17" s="5" customFormat="1" ht="20.100000000000001" customHeight="1">
      <c r="A101" s="211" t="s">
        <v>245</v>
      </c>
      <c r="B101" s="7">
        <v>1220</v>
      </c>
      <c r="C101" s="223">
        <f>SUM(C24,C35,C58,C74,C83,C85,C89,C93,C96)</f>
        <v>-22426.999999999996</v>
      </c>
      <c r="D101" s="223">
        <f>SUM(D24,D35,D58,D74,D83,D85,D89,D93,D96)</f>
        <v>-25727.500000000004</v>
      </c>
      <c r="E101" s="223">
        <f>SUM(E24,E35,E58,E74,E83,E85,E89,E93,E96)</f>
        <v>-27346</v>
      </c>
      <c r="F101" s="223">
        <f>SUM(F24,F35,F58,F74,F83,F85,F89,F93,F96)</f>
        <v>-25727.500000000004</v>
      </c>
      <c r="G101" s="56">
        <f t="shared" si="4"/>
        <v>1618.4999999999964</v>
      </c>
      <c r="H101" s="71">
        <f t="shared" si="5"/>
        <v>94.08140130183574</v>
      </c>
      <c r="I101" s="303"/>
      <c r="J101" s="303"/>
      <c r="K101" s="303"/>
      <c r="L101" s="303"/>
      <c r="M101" s="303"/>
      <c r="N101" s="303"/>
      <c r="O101" s="251"/>
    </row>
    <row r="102" spans="1:17" ht="20.100000000000001" customHeight="1">
      <c r="A102" s="228" t="s">
        <v>246</v>
      </c>
      <c r="B102" s="6">
        <v>1230</v>
      </c>
      <c r="C102" s="51"/>
      <c r="D102" s="51"/>
      <c r="E102" s="51"/>
      <c r="F102" s="51"/>
      <c r="G102" s="51">
        <f t="shared" si="4"/>
        <v>0</v>
      </c>
      <c r="H102" s="69" t="e">
        <f t="shared" si="5"/>
        <v>#DIV/0!</v>
      </c>
      <c r="I102" s="305"/>
      <c r="J102" s="305"/>
      <c r="K102" s="305"/>
      <c r="L102" s="305"/>
      <c r="M102" s="305"/>
      <c r="N102" s="305"/>
      <c r="O102" s="252"/>
    </row>
    <row r="103" spans="1:17" s="5" customFormat="1" ht="37.5">
      <c r="A103" s="146" t="s">
        <v>247</v>
      </c>
      <c r="B103" s="7">
        <v>1300</v>
      </c>
      <c r="C103" s="223">
        <f>C81+C110</f>
        <v>2081.8000000000047</v>
      </c>
      <c r="D103" s="223">
        <f>D81+D110</f>
        <v>2418.8999999999978</v>
      </c>
      <c r="E103" s="223">
        <f>E81+E110</f>
        <v>414</v>
      </c>
      <c r="F103" s="223">
        <f>F81+F110</f>
        <v>2418.8999999999978</v>
      </c>
      <c r="G103" s="51">
        <f t="shared" ref="G103:G112" si="6">F103-E103</f>
        <v>2004.8999999999978</v>
      </c>
      <c r="H103" s="69">
        <f t="shared" ref="H103:H112" si="7">(F103/E103)*100</f>
        <v>584.27536231884005</v>
      </c>
      <c r="I103" s="303"/>
      <c r="J103" s="303"/>
      <c r="K103" s="303"/>
      <c r="L103" s="303"/>
      <c r="M103" s="303"/>
      <c r="N103" s="303"/>
      <c r="O103" s="251"/>
    </row>
    <row r="104" spans="1:17" s="5" customFormat="1" ht="20.100000000000001" customHeight="1">
      <c r="A104" s="211" t="s">
        <v>248</v>
      </c>
      <c r="B104" s="211"/>
      <c r="C104" s="211"/>
      <c r="D104" s="211"/>
      <c r="E104" s="211"/>
      <c r="F104" s="211"/>
      <c r="G104" s="51">
        <f t="shared" si="6"/>
        <v>0</v>
      </c>
      <c r="H104" s="69" t="e">
        <f t="shared" si="7"/>
        <v>#DIV/0!</v>
      </c>
      <c r="I104" s="324"/>
      <c r="J104" s="324"/>
      <c r="K104" s="324"/>
      <c r="L104" s="324"/>
      <c r="M104" s="324"/>
      <c r="N104" s="324"/>
      <c r="O104" s="246"/>
    </row>
    <row r="105" spans="1:17" s="5" customFormat="1" ht="20.100000000000001" customHeight="1">
      <c r="A105" s="228" t="s">
        <v>249</v>
      </c>
      <c r="B105" s="6">
        <v>1400</v>
      </c>
      <c r="C105" s="51">
        <f>C106+C107</f>
        <v>3827.9999999999982</v>
      </c>
      <c r="D105" s="51">
        <f>D106+D107</f>
        <v>4086.8000000000043</v>
      </c>
      <c r="E105" s="51">
        <v>4199</v>
      </c>
      <c r="F105" s="51">
        <f>F106+F107</f>
        <v>4086.8000000000043</v>
      </c>
      <c r="G105" s="51">
        <f t="shared" si="6"/>
        <v>-112.19999999999573</v>
      </c>
      <c r="H105" s="69">
        <f t="shared" si="7"/>
        <v>97.327935222672167</v>
      </c>
      <c r="I105" s="305"/>
      <c r="J105" s="305"/>
      <c r="K105" s="305"/>
      <c r="L105" s="305"/>
      <c r="M105" s="305"/>
      <c r="N105" s="305"/>
      <c r="O105" s="252"/>
    </row>
    <row r="106" spans="1:17" s="5" customFormat="1" ht="20.100000000000001" customHeight="1">
      <c r="A106" s="228" t="s">
        <v>250</v>
      </c>
      <c r="B106" s="215">
        <v>1401</v>
      </c>
      <c r="C106" s="51">
        <f>-1*C101-C107-C108-C109-C110-C111</f>
        <v>2944.1999999999985</v>
      </c>
      <c r="D106" s="51">
        <f>-1*D101-D107-D108-D109-D110-D111</f>
        <v>3161.9000000000042</v>
      </c>
      <c r="E106" s="51">
        <v>3009</v>
      </c>
      <c r="F106" s="51">
        <f>-1*F101-F107-F108-F109-F110-F111</f>
        <v>3161.9000000000042</v>
      </c>
      <c r="G106" s="51">
        <f t="shared" si="6"/>
        <v>152.90000000000418</v>
      </c>
      <c r="H106" s="69">
        <f t="shared" si="7"/>
        <v>105.08142239946841</v>
      </c>
      <c r="I106" s="304"/>
      <c r="J106" s="304"/>
      <c r="K106" s="304"/>
      <c r="L106" s="304"/>
      <c r="M106" s="304"/>
      <c r="N106" s="304"/>
      <c r="O106" s="247"/>
    </row>
    <row r="107" spans="1:17" s="5" customFormat="1" ht="20.100000000000001" customHeight="1">
      <c r="A107" s="228" t="s">
        <v>251</v>
      </c>
      <c r="B107" s="215">
        <v>1402</v>
      </c>
      <c r="C107" s="51">
        <f>-1*(C27)</f>
        <v>883.8</v>
      </c>
      <c r="D107" s="51">
        <f>-1*(D27)</f>
        <v>924.9</v>
      </c>
      <c r="E107" s="256">
        <v>1190</v>
      </c>
      <c r="F107" s="51">
        <f>-1*(F27)</f>
        <v>924.9</v>
      </c>
      <c r="G107" s="51">
        <f t="shared" si="6"/>
        <v>-265.10000000000002</v>
      </c>
      <c r="H107" s="69">
        <f t="shared" si="7"/>
        <v>77.722689075630242</v>
      </c>
      <c r="I107" s="304"/>
      <c r="J107" s="304"/>
      <c r="K107" s="304"/>
      <c r="L107" s="304"/>
      <c r="M107" s="304"/>
      <c r="N107" s="304"/>
      <c r="O107" s="247"/>
    </row>
    <row r="108" spans="1:17" s="5" customFormat="1" ht="20.100000000000001" customHeight="1">
      <c r="A108" s="228" t="s">
        <v>127</v>
      </c>
      <c r="B108" s="9">
        <v>1410</v>
      </c>
      <c r="C108" s="51">
        <f t="shared" ref="C108:E109" si="8">-1*(C28+C43)</f>
        <v>14819.099999999999</v>
      </c>
      <c r="D108" s="51">
        <f t="shared" si="8"/>
        <v>17079.899999999998</v>
      </c>
      <c r="E108" s="51">
        <f t="shared" si="8"/>
        <v>18350</v>
      </c>
      <c r="F108" s="51">
        <f t="shared" ref="F108" si="9">-1*(F28+F43)</f>
        <v>17079.899999999998</v>
      </c>
      <c r="G108" s="51">
        <f t="shared" si="6"/>
        <v>-1270.1000000000022</v>
      </c>
      <c r="H108" s="69">
        <f t="shared" si="7"/>
        <v>93.078474114441406</v>
      </c>
      <c r="I108" s="305"/>
      <c r="J108" s="305"/>
      <c r="K108" s="305"/>
      <c r="L108" s="305"/>
      <c r="M108" s="305"/>
      <c r="N108" s="305"/>
      <c r="O108" s="252"/>
      <c r="Q108" s="237"/>
    </row>
    <row r="109" spans="1:17" s="5" customFormat="1" ht="20.100000000000001" customHeight="1">
      <c r="A109" s="228" t="s">
        <v>186</v>
      </c>
      <c r="B109" s="9">
        <v>1420</v>
      </c>
      <c r="C109" s="51">
        <f t="shared" si="8"/>
        <v>3009</v>
      </c>
      <c r="D109" s="51">
        <f t="shared" si="8"/>
        <v>3495.8</v>
      </c>
      <c r="E109" s="51">
        <f t="shared" si="8"/>
        <v>4037</v>
      </c>
      <c r="F109" s="51">
        <f t="shared" ref="F109" si="10">-1*(F29+F44)</f>
        <v>3495.8</v>
      </c>
      <c r="G109" s="51">
        <f t="shared" si="6"/>
        <v>-541.19999999999982</v>
      </c>
      <c r="H109" s="69">
        <f t="shared" si="7"/>
        <v>86.594005449591279</v>
      </c>
      <c r="I109" s="305"/>
      <c r="J109" s="305"/>
      <c r="K109" s="305"/>
      <c r="L109" s="305"/>
      <c r="M109" s="305"/>
      <c r="N109" s="305"/>
      <c r="O109" s="252"/>
    </row>
    <row r="110" spans="1:17" s="5" customFormat="1" ht="20.100000000000001" customHeight="1">
      <c r="A110" s="228" t="s">
        <v>252</v>
      </c>
      <c r="B110" s="9">
        <v>1430</v>
      </c>
      <c r="C110" s="51">
        <f>-1*(C31+C45)</f>
        <v>515.5</v>
      </c>
      <c r="D110" s="51">
        <f>-1*(D31+D45)</f>
        <v>763.6</v>
      </c>
      <c r="E110" s="51">
        <f>-1*(E31+E45)</f>
        <v>510</v>
      </c>
      <c r="F110" s="51">
        <f>-1*(F31+F45)</f>
        <v>763.6</v>
      </c>
      <c r="G110" s="51">
        <f t="shared" si="6"/>
        <v>253.60000000000002</v>
      </c>
      <c r="H110" s="69">
        <f t="shared" si="7"/>
        <v>149.72549019607843</v>
      </c>
      <c r="I110" s="305"/>
      <c r="J110" s="305"/>
      <c r="K110" s="305"/>
      <c r="L110" s="305"/>
      <c r="M110" s="305"/>
      <c r="N110" s="305"/>
      <c r="O110" s="252"/>
    </row>
    <row r="111" spans="1:17" s="5" customFormat="1" ht="20.100000000000001" customHeight="1">
      <c r="A111" s="228" t="s">
        <v>253</v>
      </c>
      <c r="B111" s="9">
        <v>1440</v>
      </c>
      <c r="C111" s="51">
        <f>-1*(C80)</f>
        <v>255.4</v>
      </c>
      <c r="D111" s="51">
        <f>-1*(D80)</f>
        <v>301.39999999999998</v>
      </c>
      <c r="E111" s="51">
        <f>-1*(E80)</f>
        <v>250</v>
      </c>
      <c r="F111" s="51">
        <f>-1*(F80)</f>
        <v>301.39999999999998</v>
      </c>
      <c r="G111" s="51">
        <f t="shared" si="6"/>
        <v>51.399999999999977</v>
      </c>
      <c r="H111" s="69">
        <f t="shared" si="7"/>
        <v>120.56</v>
      </c>
      <c r="I111" s="305"/>
      <c r="J111" s="305"/>
      <c r="K111" s="305"/>
      <c r="L111" s="305"/>
      <c r="M111" s="305"/>
      <c r="N111" s="305"/>
      <c r="O111" s="252"/>
    </row>
    <row r="112" spans="1:17" s="5" customFormat="1">
      <c r="A112" s="211" t="s">
        <v>173</v>
      </c>
      <c r="B112" s="31">
        <v>1450</v>
      </c>
      <c r="C112" s="223">
        <f>SUM(C105,C108:C111)</f>
        <v>22427</v>
      </c>
      <c r="D112" s="223">
        <f>SUM(D105,D108:D111)</f>
        <v>25727.5</v>
      </c>
      <c r="E112" s="254">
        <f>SUM(E105,E108:E111)</f>
        <v>27346</v>
      </c>
      <c r="F112" s="223">
        <f>SUM(F105,F108:F111)</f>
        <v>25727.5</v>
      </c>
      <c r="G112" s="51">
        <f t="shared" si="6"/>
        <v>-1618.5</v>
      </c>
      <c r="H112" s="69">
        <f t="shared" si="7"/>
        <v>94.081401301835726</v>
      </c>
      <c r="I112" s="303"/>
      <c r="J112" s="303"/>
      <c r="K112" s="303"/>
      <c r="L112" s="303"/>
      <c r="M112" s="303"/>
      <c r="N112" s="303"/>
      <c r="O112" s="251"/>
    </row>
    <row r="113" spans="1:14" s="5" customFormat="1">
      <c r="A113" s="216"/>
      <c r="B113" s="38"/>
      <c r="C113" s="38"/>
      <c r="D113" s="38"/>
      <c r="E113" s="38"/>
      <c r="F113" s="38"/>
      <c r="G113" s="38"/>
      <c r="H113" s="38"/>
      <c r="I113" s="38"/>
    </row>
    <row r="114" spans="1:14" s="5" customFormat="1">
      <c r="A114" s="216"/>
      <c r="B114" s="38"/>
      <c r="C114" s="38"/>
      <c r="D114" s="38"/>
      <c r="E114" s="38"/>
      <c r="F114" s="38"/>
      <c r="G114" s="38"/>
      <c r="H114" s="38"/>
      <c r="I114" s="38"/>
    </row>
    <row r="115" spans="1:14">
      <c r="A115" s="207"/>
      <c r="B115" s="208"/>
      <c r="C115" s="208"/>
      <c r="D115" s="208"/>
      <c r="E115" s="208"/>
      <c r="F115" s="208"/>
      <c r="G115" s="208"/>
      <c r="H115" s="208"/>
      <c r="I115" s="208"/>
      <c r="J115" s="229"/>
      <c r="K115" s="229"/>
      <c r="L115" s="229"/>
      <c r="M115" s="229"/>
      <c r="N115" s="229"/>
    </row>
    <row r="116" spans="1:14" ht="27.75" customHeight="1">
      <c r="A116" s="236" t="s">
        <v>412</v>
      </c>
      <c r="B116" s="1"/>
      <c r="C116" s="320" t="s">
        <v>254</v>
      </c>
      <c r="D116" s="320"/>
      <c r="E116" s="44"/>
      <c r="F116" s="325" t="s">
        <v>413</v>
      </c>
      <c r="G116" s="325"/>
      <c r="H116" s="325"/>
      <c r="I116" s="229"/>
      <c r="J116" s="229"/>
      <c r="K116" s="229"/>
      <c r="L116" s="229"/>
      <c r="M116" s="229"/>
      <c r="N116" s="229"/>
    </row>
    <row r="117" spans="1:14" s="2" customFormat="1">
      <c r="A117" s="214"/>
      <c r="B117" s="229"/>
      <c r="C117" s="319" t="s">
        <v>255</v>
      </c>
      <c r="D117" s="319"/>
      <c r="E117" s="229"/>
      <c r="F117" s="288" t="s">
        <v>153</v>
      </c>
      <c r="G117" s="288"/>
      <c r="H117" s="288"/>
    </row>
    <row r="118" spans="1:14">
      <c r="A118" s="207"/>
      <c r="B118" s="208"/>
      <c r="C118" s="208"/>
      <c r="D118" s="208"/>
      <c r="E118" s="208"/>
      <c r="F118" s="208"/>
      <c r="G118" s="208"/>
      <c r="H118" s="208"/>
      <c r="I118" s="208"/>
    </row>
    <row r="119" spans="1:14">
      <c r="A119" s="207"/>
      <c r="B119" s="208"/>
      <c r="C119" s="208"/>
      <c r="D119" s="208"/>
      <c r="E119" s="208"/>
      <c r="F119" s="208"/>
      <c r="G119" s="208"/>
      <c r="H119" s="208"/>
      <c r="I119" s="208"/>
    </row>
    <row r="120" spans="1:14">
      <c r="A120" s="207"/>
      <c r="B120" s="208"/>
      <c r="C120" s="208"/>
      <c r="D120" s="208"/>
      <c r="E120" s="208"/>
      <c r="F120" s="208"/>
      <c r="G120" s="208"/>
      <c r="H120" s="208"/>
      <c r="I120" s="208"/>
    </row>
    <row r="121" spans="1:14">
      <c r="A121" s="207"/>
      <c r="B121" s="208"/>
      <c r="C121" s="208"/>
      <c r="D121" s="208"/>
      <c r="E121" s="208"/>
      <c r="F121" s="208"/>
      <c r="G121" s="208"/>
      <c r="H121" s="208"/>
      <c r="I121" s="208"/>
    </row>
    <row r="122" spans="1:14">
      <c r="A122" s="207"/>
      <c r="B122" s="208"/>
      <c r="C122" s="208"/>
      <c r="D122" s="208"/>
      <c r="E122" s="208"/>
      <c r="F122" s="208"/>
      <c r="G122" s="208"/>
      <c r="H122" s="208"/>
      <c r="I122" s="208"/>
    </row>
    <row r="123" spans="1:14">
      <c r="A123" s="207"/>
      <c r="B123" s="208"/>
      <c r="C123" s="208"/>
      <c r="D123" s="208"/>
      <c r="E123" s="208"/>
      <c r="F123" s="208"/>
      <c r="G123" s="208"/>
      <c r="H123" s="208"/>
      <c r="I123" s="208"/>
    </row>
    <row r="124" spans="1:14">
      <c r="A124" s="207"/>
      <c r="B124" s="208"/>
      <c r="C124" s="208"/>
      <c r="D124" s="208"/>
      <c r="E124" s="208"/>
      <c r="F124" s="208"/>
      <c r="G124" s="208"/>
      <c r="H124" s="208"/>
      <c r="I124" s="208"/>
    </row>
    <row r="125" spans="1:14">
      <c r="A125" s="207"/>
      <c r="B125" s="208"/>
      <c r="C125" s="208"/>
      <c r="D125" s="208"/>
      <c r="E125" s="208"/>
      <c r="F125" s="208"/>
      <c r="G125" s="208"/>
      <c r="H125" s="208"/>
      <c r="I125" s="208"/>
    </row>
    <row r="126" spans="1:14">
      <c r="A126" s="207"/>
      <c r="B126" s="208"/>
      <c r="C126" s="208"/>
      <c r="D126" s="208"/>
      <c r="E126" s="208"/>
      <c r="F126" s="208"/>
      <c r="G126" s="208"/>
      <c r="H126" s="208"/>
      <c r="I126" s="208"/>
    </row>
    <row r="127" spans="1:14">
      <c r="A127" s="207"/>
      <c r="B127" s="208"/>
      <c r="C127" s="208"/>
      <c r="D127" s="208"/>
      <c r="E127" s="208"/>
      <c r="F127" s="208"/>
      <c r="G127" s="208"/>
      <c r="H127" s="208"/>
      <c r="I127" s="208"/>
    </row>
    <row r="128" spans="1:14">
      <c r="A128" s="207"/>
      <c r="B128" s="208"/>
      <c r="C128" s="208"/>
      <c r="D128" s="208"/>
      <c r="E128" s="208"/>
      <c r="F128" s="208"/>
      <c r="G128" s="208"/>
      <c r="H128" s="208"/>
      <c r="I128" s="208"/>
    </row>
    <row r="129" spans="1:9">
      <c r="A129" s="207"/>
      <c r="B129" s="208"/>
      <c r="C129" s="208"/>
      <c r="D129" s="208"/>
      <c r="E129" s="208"/>
      <c r="F129" s="208"/>
      <c r="G129" s="208"/>
      <c r="H129" s="208"/>
      <c r="I129" s="208"/>
    </row>
    <row r="130" spans="1:9">
      <c r="A130" s="207"/>
      <c r="B130" s="229"/>
      <c r="C130" s="229"/>
      <c r="D130" s="229"/>
      <c r="E130" s="229"/>
      <c r="F130" s="229"/>
      <c r="G130" s="229"/>
      <c r="H130" s="229"/>
      <c r="I130" s="229"/>
    </row>
    <row r="131" spans="1:9">
      <c r="A131" s="207"/>
      <c r="B131" s="229"/>
      <c r="C131" s="229"/>
      <c r="D131" s="229"/>
      <c r="E131" s="229"/>
      <c r="F131" s="229"/>
      <c r="G131" s="229"/>
      <c r="H131" s="229"/>
      <c r="I131" s="229"/>
    </row>
    <row r="132" spans="1:9">
      <c r="A132" s="207"/>
      <c r="B132" s="229"/>
      <c r="C132" s="229"/>
      <c r="D132" s="229"/>
      <c r="E132" s="229"/>
      <c r="F132" s="229"/>
      <c r="G132" s="229"/>
      <c r="H132" s="229"/>
      <c r="I132" s="229"/>
    </row>
    <row r="133" spans="1:9">
      <c r="A133" s="207"/>
      <c r="B133" s="229"/>
      <c r="C133" s="229"/>
      <c r="D133" s="229"/>
      <c r="E133" s="229"/>
      <c r="F133" s="229"/>
      <c r="G133" s="229"/>
      <c r="H133" s="229"/>
      <c r="I133" s="229"/>
    </row>
    <row r="134" spans="1:9">
      <c r="A134" s="207"/>
      <c r="B134" s="229"/>
      <c r="C134" s="229"/>
      <c r="D134" s="229"/>
      <c r="E134" s="229"/>
      <c r="F134" s="229"/>
      <c r="G134" s="229"/>
      <c r="H134" s="229"/>
      <c r="I134" s="229"/>
    </row>
    <row r="135" spans="1:9">
      <c r="A135" s="207"/>
      <c r="B135" s="229"/>
      <c r="C135" s="229"/>
      <c r="D135" s="229"/>
      <c r="E135" s="229"/>
      <c r="F135" s="229"/>
      <c r="G135" s="229"/>
      <c r="H135" s="229"/>
      <c r="I135" s="229"/>
    </row>
    <row r="136" spans="1:9">
      <c r="A136" s="207"/>
      <c r="B136" s="229"/>
      <c r="C136" s="229"/>
      <c r="D136" s="229"/>
      <c r="E136" s="229"/>
      <c r="F136" s="229"/>
      <c r="G136" s="229"/>
      <c r="H136" s="229"/>
      <c r="I136" s="229"/>
    </row>
    <row r="137" spans="1:9">
      <c r="A137" s="207"/>
      <c r="B137" s="229"/>
      <c r="C137" s="229"/>
      <c r="D137" s="229"/>
      <c r="E137" s="229"/>
      <c r="F137" s="229"/>
      <c r="G137" s="229"/>
      <c r="H137" s="229"/>
      <c r="I137" s="229"/>
    </row>
    <row r="138" spans="1:9">
      <c r="A138" s="207"/>
      <c r="B138" s="229"/>
      <c r="C138" s="229"/>
      <c r="D138" s="229"/>
      <c r="E138" s="229"/>
      <c r="F138" s="229"/>
      <c r="G138" s="229"/>
      <c r="H138" s="229"/>
      <c r="I138" s="229"/>
    </row>
    <row r="139" spans="1:9">
      <c r="A139" s="207"/>
      <c r="B139" s="229"/>
      <c r="C139" s="229"/>
      <c r="D139" s="229"/>
      <c r="E139" s="229"/>
      <c r="F139" s="229"/>
      <c r="G139" s="229"/>
      <c r="H139" s="229"/>
      <c r="I139" s="229"/>
    </row>
    <row r="140" spans="1:9">
      <c r="A140" s="207"/>
      <c r="B140" s="229"/>
      <c r="C140" s="229"/>
      <c r="D140" s="229"/>
      <c r="E140" s="229"/>
      <c r="F140" s="229"/>
      <c r="G140" s="229"/>
      <c r="H140" s="229"/>
      <c r="I140" s="229"/>
    </row>
    <row r="141" spans="1:9">
      <c r="A141" s="207"/>
      <c r="B141" s="229"/>
      <c r="C141" s="229"/>
      <c r="D141" s="229"/>
      <c r="E141" s="229"/>
      <c r="F141" s="229"/>
      <c r="G141" s="229"/>
      <c r="H141" s="229"/>
      <c r="I141" s="229"/>
    </row>
    <row r="142" spans="1:9">
      <c r="A142" s="207"/>
      <c r="B142" s="229"/>
      <c r="C142" s="229"/>
      <c r="D142" s="229"/>
      <c r="E142" s="229"/>
      <c r="F142" s="229"/>
      <c r="G142" s="229"/>
      <c r="H142" s="229"/>
      <c r="I142" s="229"/>
    </row>
    <row r="143" spans="1:9">
      <c r="A143" s="207"/>
      <c r="B143" s="229"/>
      <c r="C143" s="229"/>
      <c r="D143" s="229"/>
      <c r="E143" s="229"/>
      <c r="F143" s="229"/>
      <c r="G143" s="229"/>
      <c r="H143" s="229"/>
      <c r="I143" s="229"/>
    </row>
    <row r="144" spans="1:9">
      <c r="A144" s="207"/>
      <c r="B144" s="229"/>
      <c r="C144" s="229"/>
      <c r="D144" s="229"/>
      <c r="E144" s="229"/>
      <c r="F144" s="229"/>
      <c r="G144" s="229"/>
      <c r="H144" s="229"/>
      <c r="I144" s="229"/>
    </row>
    <row r="145" spans="1:9">
      <c r="A145" s="207"/>
      <c r="B145" s="229"/>
      <c r="C145" s="229"/>
      <c r="D145" s="229"/>
      <c r="E145" s="229"/>
      <c r="F145" s="229"/>
      <c r="G145" s="229"/>
      <c r="H145" s="229"/>
      <c r="I145" s="229"/>
    </row>
    <row r="146" spans="1:9">
      <c r="A146" s="207"/>
      <c r="B146" s="229"/>
      <c r="C146" s="229"/>
      <c r="D146" s="229"/>
      <c r="E146" s="229"/>
      <c r="F146" s="229"/>
      <c r="G146" s="229"/>
      <c r="H146" s="229"/>
      <c r="I146" s="229"/>
    </row>
    <row r="147" spans="1:9">
      <c r="A147" s="207"/>
      <c r="B147" s="229"/>
      <c r="C147" s="229"/>
      <c r="D147" s="229"/>
      <c r="E147" s="229"/>
      <c r="F147" s="229"/>
      <c r="G147" s="229"/>
      <c r="H147" s="229"/>
      <c r="I147" s="229"/>
    </row>
    <row r="148" spans="1:9">
      <c r="A148" s="207"/>
      <c r="B148" s="229"/>
      <c r="C148" s="229"/>
      <c r="D148" s="229"/>
      <c r="E148" s="229"/>
      <c r="F148" s="229"/>
      <c r="G148" s="229"/>
      <c r="H148" s="229"/>
      <c r="I148" s="229"/>
    </row>
    <row r="149" spans="1:9">
      <c r="A149" s="207"/>
      <c r="B149" s="229"/>
      <c r="C149" s="229"/>
      <c r="D149" s="229"/>
      <c r="E149" s="229"/>
      <c r="F149" s="229"/>
      <c r="G149" s="229"/>
      <c r="H149" s="229"/>
      <c r="I149" s="229"/>
    </row>
    <row r="150" spans="1:9">
      <c r="A150" s="207"/>
      <c r="B150" s="229"/>
      <c r="C150" s="229"/>
      <c r="D150" s="229"/>
      <c r="E150" s="229"/>
      <c r="F150" s="229"/>
      <c r="G150" s="229"/>
      <c r="H150" s="229"/>
      <c r="I150" s="229"/>
    </row>
    <row r="151" spans="1:9">
      <c r="A151" s="207"/>
      <c r="B151" s="229"/>
      <c r="C151" s="229"/>
      <c r="D151" s="229"/>
      <c r="E151" s="229"/>
      <c r="F151" s="229"/>
      <c r="G151" s="229"/>
      <c r="H151" s="229"/>
      <c r="I151" s="229"/>
    </row>
    <row r="152" spans="1:9">
      <c r="A152" s="207"/>
      <c r="B152" s="229"/>
      <c r="C152" s="229"/>
      <c r="D152" s="229"/>
      <c r="E152" s="229"/>
      <c r="F152" s="229"/>
      <c r="G152" s="229"/>
      <c r="H152" s="229"/>
      <c r="I152" s="229"/>
    </row>
    <row r="153" spans="1:9">
      <c r="A153" s="207"/>
      <c r="B153" s="229"/>
      <c r="C153" s="229"/>
      <c r="D153" s="229"/>
      <c r="E153" s="229"/>
      <c r="F153" s="229"/>
      <c r="G153" s="229"/>
      <c r="H153" s="229"/>
      <c r="I153" s="229"/>
    </row>
    <row r="154" spans="1:9">
      <c r="A154" s="207"/>
      <c r="B154" s="229"/>
      <c r="C154" s="229"/>
      <c r="D154" s="229"/>
      <c r="E154" s="229"/>
      <c r="F154" s="229"/>
      <c r="G154" s="229"/>
      <c r="H154" s="229"/>
      <c r="I154" s="229"/>
    </row>
    <row r="155" spans="1:9">
      <c r="A155" s="207"/>
      <c r="B155" s="229"/>
      <c r="C155" s="229"/>
      <c r="D155" s="229"/>
      <c r="E155" s="229"/>
      <c r="F155" s="229"/>
      <c r="G155" s="229"/>
      <c r="H155" s="229"/>
      <c r="I155" s="229"/>
    </row>
    <row r="156" spans="1:9">
      <c r="A156" s="207"/>
      <c r="B156" s="229"/>
      <c r="C156" s="229"/>
      <c r="D156" s="229"/>
      <c r="E156" s="229"/>
      <c r="F156" s="229"/>
      <c r="G156" s="229"/>
      <c r="H156" s="229"/>
      <c r="I156" s="229"/>
    </row>
    <row r="157" spans="1:9">
      <c r="A157" s="207"/>
      <c r="B157" s="229"/>
      <c r="C157" s="229"/>
      <c r="D157" s="229"/>
      <c r="E157" s="229"/>
      <c r="F157" s="229"/>
      <c r="G157" s="229"/>
      <c r="H157" s="229"/>
      <c r="I157" s="229"/>
    </row>
    <row r="158" spans="1:9">
      <c r="A158" s="207"/>
      <c r="B158" s="229"/>
      <c r="C158" s="229"/>
      <c r="D158" s="229"/>
      <c r="E158" s="229"/>
      <c r="F158" s="229"/>
      <c r="G158" s="229"/>
      <c r="H158" s="229"/>
      <c r="I158" s="229"/>
    </row>
    <row r="159" spans="1:9">
      <c r="A159" s="207"/>
      <c r="B159" s="229"/>
      <c r="C159" s="229"/>
      <c r="D159" s="229"/>
      <c r="E159" s="229"/>
      <c r="F159" s="229"/>
      <c r="G159" s="229"/>
      <c r="H159" s="229"/>
      <c r="I159" s="229"/>
    </row>
    <row r="160" spans="1:9">
      <c r="A160" s="207"/>
      <c r="B160" s="229"/>
      <c r="C160" s="229"/>
      <c r="D160" s="229"/>
      <c r="E160" s="229"/>
      <c r="F160" s="229"/>
      <c r="G160" s="229"/>
      <c r="H160" s="229"/>
      <c r="I160" s="229"/>
    </row>
    <row r="161" spans="1:9">
      <c r="A161" s="207"/>
      <c r="B161" s="229"/>
      <c r="C161" s="229"/>
      <c r="D161" s="229"/>
      <c r="E161" s="229"/>
      <c r="F161" s="229"/>
      <c r="G161" s="229"/>
      <c r="H161" s="229"/>
      <c r="I161" s="229"/>
    </row>
    <row r="162" spans="1:9">
      <c r="A162" s="207"/>
      <c r="B162" s="229"/>
      <c r="C162" s="229"/>
      <c r="D162" s="229"/>
      <c r="E162" s="229"/>
      <c r="F162" s="229"/>
      <c r="G162" s="229"/>
      <c r="H162" s="229"/>
      <c r="I162" s="229"/>
    </row>
    <row r="163" spans="1:9">
      <c r="A163" s="207"/>
      <c r="B163" s="229"/>
      <c r="C163" s="229"/>
      <c r="D163" s="229"/>
      <c r="E163" s="229"/>
      <c r="F163" s="229"/>
      <c r="G163" s="229"/>
      <c r="H163" s="229"/>
      <c r="I163" s="229"/>
    </row>
    <row r="164" spans="1:9">
      <c r="A164" s="207"/>
      <c r="B164" s="229"/>
      <c r="C164" s="229"/>
      <c r="D164" s="229"/>
      <c r="E164" s="229"/>
      <c r="F164" s="229"/>
      <c r="G164" s="229"/>
      <c r="H164" s="229"/>
      <c r="I164" s="229"/>
    </row>
    <row r="165" spans="1:9">
      <c r="A165" s="207"/>
      <c r="B165" s="229"/>
      <c r="C165" s="229"/>
      <c r="D165" s="229"/>
      <c r="E165" s="229"/>
      <c r="F165" s="229"/>
      <c r="G165" s="229"/>
      <c r="H165" s="229"/>
      <c r="I165" s="229"/>
    </row>
    <row r="166" spans="1:9">
      <c r="A166" s="207"/>
      <c r="B166" s="229"/>
      <c r="C166" s="229"/>
      <c r="D166" s="229"/>
      <c r="E166" s="229"/>
      <c r="F166" s="229"/>
      <c r="G166" s="229"/>
      <c r="H166" s="229"/>
      <c r="I166" s="229"/>
    </row>
    <row r="167" spans="1:9">
      <c r="A167" s="207"/>
      <c r="B167" s="229"/>
      <c r="C167" s="229"/>
      <c r="D167" s="229"/>
      <c r="E167" s="229"/>
      <c r="F167" s="229"/>
      <c r="G167" s="229"/>
      <c r="H167" s="229"/>
      <c r="I167" s="229"/>
    </row>
    <row r="168" spans="1:9">
      <c r="A168" s="207"/>
      <c r="B168" s="229"/>
      <c r="C168" s="229"/>
      <c r="D168" s="229"/>
      <c r="E168" s="229"/>
      <c r="F168" s="229"/>
      <c r="G168" s="229"/>
      <c r="H168" s="229"/>
      <c r="I168" s="229"/>
    </row>
    <row r="169" spans="1:9">
      <c r="A169" s="207"/>
      <c r="B169" s="229"/>
      <c r="C169" s="229"/>
      <c r="D169" s="229"/>
      <c r="E169" s="229"/>
      <c r="F169" s="229"/>
      <c r="G169" s="229"/>
      <c r="H169" s="229"/>
      <c r="I169" s="229"/>
    </row>
    <row r="170" spans="1:9">
      <c r="A170" s="207"/>
      <c r="B170" s="229"/>
      <c r="C170" s="229"/>
      <c r="D170" s="229"/>
      <c r="E170" s="229"/>
      <c r="F170" s="229"/>
      <c r="G170" s="229"/>
      <c r="H170" s="229"/>
      <c r="I170" s="229"/>
    </row>
    <row r="171" spans="1:9">
      <c r="A171" s="207"/>
      <c r="B171" s="229"/>
      <c r="C171" s="229"/>
      <c r="D171" s="229"/>
      <c r="E171" s="229"/>
      <c r="F171" s="229"/>
      <c r="G171" s="229"/>
      <c r="H171" s="229"/>
      <c r="I171" s="229"/>
    </row>
    <row r="172" spans="1:9">
      <c r="A172" s="207"/>
      <c r="B172" s="229"/>
      <c r="C172" s="229"/>
      <c r="D172" s="229"/>
      <c r="E172" s="229"/>
      <c r="F172" s="229"/>
      <c r="G172" s="229"/>
      <c r="H172" s="229"/>
      <c r="I172" s="229"/>
    </row>
    <row r="173" spans="1:9">
      <c r="A173" s="207"/>
      <c r="B173" s="229"/>
      <c r="C173" s="229"/>
      <c r="D173" s="229"/>
      <c r="E173" s="229"/>
      <c r="F173" s="229"/>
      <c r="G173" s="229"/>
      <c r="H173" s="229"/>
      <c r="I173" s="229"/>
    </row>
    <row r="174" spans="1:9">
      <c r="A174" s="207"/>
      <c r="B174" s="229"/>
      <c r="C174" s="229"/>
      <c r="D174" s="229"/>
      <c r="E174" s="229"/>
      <c r="F174" s="229"/>
      <c r="G174" s="229"/>
      <c r="H174" s="229"/>
      <c r="I174" s="229"/>
    </row>
    <row r="175" spans="1:9">
      <c r="A175" s="207"/>
      <c r="B175" s="229"/>
      <c r="C175" s="229"/>
      <c r="D175" s="229"/>
      <c r="E175" s="229"/>
      <c r="F175" s="229"/>
      <c r="G175" s="229"/>
      <c r="H175" s="229"/>
      <c r="I175" s="229"/>
    </row>
    <row r="176" spans="1:9">
      <c r="A176" s="32"/>
      <c r="B176" s="229"/>
      <c r="C176" s="229"/>
      <c r="D176" s="229"/>
      <c r="E176" s="229"/>
      <c r="F176" s="229"/>
      <c r="G176" s="229"/>
      <c r="H176" s="229"/>
      <c r="I176" s="229"/>
    </row>
    <row r="177" spans="1:9">
      <c r="A177" s="32"/>
      <c r="B177" s="229"/>
      <c r="C177" s="229"/>
      <c r="D177" s="229"/>
      <c r="E177" s="229"/>
      <c r="F177" s="229"/>
      <c r="G177" s="229"/>
      <c r="H177" s="229"/>
      <c r="I177" s="229"/>
    </row>
    <row r="178" spans="1:9">
      <c r="A178" s="32"/>
      <c r="B178" s="229"/>
      <c r="C178" s="229"/>
      <c r="D178" s="229"/>
      <c r="E178" s="229"/>
      <c r="F178" s="229"/>
      <c r="G178" s="229"/>
      <c r="H178" s="229"/>
      <c r="I178" s="229"/>
    </row>
    <row r="179" spans="1:9">
      <c r="A179" s="32"/>
      <c r="B179" s="229"/>
      <c r="C179" s="229"/>
      <c r="D179" s="229"/>
      <c r="E179" s="229"/>
      <c r="F179" s="229"/>
      <c r="G179" s="229"/>
      <c r="H179" s="229"/>
      <c r="I179" s="229"/>
    </row>
    <row r="180" spans="1:9">
      <c r="A180" s="32"/>
      <c r="B180" s="229"/>
      <c r="C180" s="229"/>
      <c r="D180" s="229"/>
      <c r="E180" s="229"/>
      <c r="F180" s="229"/>
      <c r="G180" s="229"/>
      <c r="H180" s="229"/>
      <c r="I180" s="229"/>
    </row>
    <row r="181" spans="1:9">
      <c r="A181" s="32"/>
      <c r="B181" s="229"/>
      <c r="C181" s="229"/>
      <c r="D181" s="229"/>
      <c r="E181" s="229"/>
      <c r="F181" s="229"/>
      <c r="G181" s="229"/>
      <c r="H181" s="229"/>
      <c r="I181" s="229"/>
    </row>
    <row r="182" spans="1:9">
      <c r="A182" s="32"/>
      <c r="B182" s="229"/>
      <c r="C182" s="229"/>
      <c r="D182" s="229"/>
      <c r="E182" s="229"/>
      <c r="F182" s="229"/>
      <c r="G182" s="229"/>
      <c r="H182" s="229"/>
      <c r="I182" s="229"/>
    </row>
    <row r="183" spans="1:9">
      <c r="A183" s="32"/>
      <c r="B183" s="229"/>
      <c r="C183" s="229"/>
      <c r="D183" s="229"/>
      <c r="E183" s="229"/>
      <c r="F183" s="229"/>
      <c r="G183" s="229"/>
      <c r="H183" s="229"/>
      <c r="I183" s="229"/>
    </row>
    <row r="184" spans="1:9">
      <c r="A184" s="32"/>
      <c r="B184" s="229"/>
      <c r="C184" s="229"/>
      <c r="D184" s="229"/>
      <c r="E184" s="229"/>
      <c r="F184" s="229"/>
      <c r="G184" s="229"/>
      <c r="H184" s="229"/>
      <c r="I184" s="229"/>
    </row>
    <row r="185" spans="1:9">
      <c r="A185" s="32"/>
      <c r="B185" s="229"/>
      <c r="C185" s="229"/>
      <c r="D185" s="229"/>
      <c r="E185" s="229"/>
      <c r="F185" s="229"/>
      <c r="G185" s="229"/>
      <c r="H185" s="229"/>
      <c r="I185" s="229"/>
    </row>
    <row r="186" spans="1:9">
      <c r="A186" s="32"/>
      <c r="B186" s="229"/>
      <c r="C186" s="229"/>
      <c r="D186" s="229"/>
      <c r="E186" s="229"/>
      <c r="F186" s="229"/>
      <c r="G186" s="229"/>
      <c r="H186" s="229"/>
      <c r="I186" s="229"/>
    </row>
    <row r="187" spans="1:9">
      <c r="A187" s="32"/>
      <c r="B187" s="229"/>
      <c r="C187" s="229"/>
      <c r="D187" s="229"/>
      <c r="E187" s="229"/>
      <c r="F187" s="229"/>
      <c r="G187" s="229"/>
      <c r="H187" s="229"/>
      <c r="I187" s="229"/>
    </row>
    <row r="188" spans="1:9">
      <c r="A188" s="32"/>
      <c r="B188" s="229"/>
      <c r="C188" s="229"/>
      <c r="D188" s="229"/>
      <c r="E188" s="229"/>
      <c r="F188" s="229"/>
      <c r="G188" s="229"/>
      <c r="H188" s="229"/>
      <c r="I188" s="229"/>
    </row>
    <row r="189" spans="1:9">
      <c r="A189" s="32"/>
      <c r="B189" s="229"/>
      <c r="C189" s="229"/>
      <c r="D189" s="229"/>
      <c r="E189" s="229"/>
      <c r="F189" s="229"/>
      <c r="G189" s="229"/>
      <c r="H189" s="229"/>
      <c r="I189" s="229"/>
    </row>
    <row r="190" spans="1:9">
      <c r="A190" s="32"/>
      <c r="B190" s="229"/>
      <c r="C190" s="229"/>
      <c r="D190" s="229"/>
      <c r="E190" s="229"/>
      <c r="F190" s="229"/>
      <c r="G190" s="229"/>
      <c r="H190" s="229"/>
      <c r="I190" s="229"/>
    </row>
    <row r="191" spans="1:9">
      <c r="A191" s="32"/>
      <c r="B191" s="229"/>
      <c r="C191" s="229"/>
      <c r="D191" s="229"/>
      <c r="E191" s="229"/>
      <c r="F191" s="229"/>
      <c r="G191" s="229"/>
      <c r="H191" s="229"/>
      <c r="I191" s="229"/>
    </row>
    <row r="192" spans="1:9">
      <c r="A192" s="32"/>
      <c r="B192" s="229"/>
      <c r="C192" s="229"/>
      <c r="D192" s="229"/>
      <c r="E192" s="229"/>
      <c r="F192" s="229"/>
      <c r="G192" s="229"/>
      <c r="H192" s="229"/>
      <c r="I192" s="229"/>
    </row>
    <row r="193" spans="1:9">
      <c r="A193" s="32"/>
      <c r="B193" s="229"/>
      <c r="C193" s="229"/>
      <c r="D193" s="229"/>
      <c r="E193" s="229"/>
      <c r="F193" s="229"/>
      <c r="G193" s="229"/>
      <c r="H193" s="229"/>
      <c r="I193" s="229"/>
    </row>
    <row r="194" spans="1:9">
      <c r="A194" s="32"/>
      <c r="B194" s="229"/>
      <c r="C194" s="229"/>
      <c r="D194" s="229"/>
      <c r="E194" s="229"/>
      <c r="F194" s="229"/>
      <c r="G194" s="229"/>
      <c r="H194" s="229"/>
      <c r="I194" s="229"/>
    </row>
    <row r="195" spans="1:9">
      <c r="A195" s="32"/>
      <c r="B195" s="229"/>
      <c r="C195" s="229"/>
      <c r="D195" s="229"/>
      <c r="E195" s="229"/>
      <c r="F195" s="229"/>
      <c r="G195" s="229"/>
      <c r="H195" s="229"/>
      <c r="I195" s="229"/>
    </row>
    <row r="196" spans="1:9">
      <c r="A196" s="32"/>
      <c r="B196" s="229"/>
      <c r="C196" s="229"/>
      <c r="D196" s="229"/>
      <c r="E196" s="229"/>
      <c r="F196" s="229"/>
      <c r="G196" s="229"/>
      <c r="H196" s="229"/>
      <c r="I196" s="229"/>
    </row>
    <row r="197" spans="1:9">
      <c r="A197" s="32"/>
      <c r="B197" s="229"/>
      <c r="C197" s="229"/>
      <c r="D197" s="229"/>
      <c r="E197" s="229"/>
      <c r="F197" s="229"/>
      <c r="G197" s="229"/>
      <c r="H197" s="229"/>
      <c r="I197" s="229"/>
    </row>
    <row r="198" spans="1:9">
      <c r="A198" s="32"/>
      <c r="B198" s="229"/>
      <c r="C198" s="229"/>
      <c r="D198" s="229"/>
      <c r="E198" s="229"/>
      <c r="F198" s="229"/>
      <c r="G198" s="229"/>
      <c r="H198" s="229"/>
      <c r="I198" s="229"/>
    </row>
    <row r="199" spans="1:9">
      <c r="A199" s="32"/>
      <c r="B199" s="229"/>
      <c r="C199" s="229"/>
      <c r="D199" s="229"/>
      <c r="E199" s="229"/>
      <c r="F199" s="229"/>
      <c r="G199" s="229"/>
      <c r="H199" s="229"/>
      <c r="I199" s="229"/>
    </row>
    <row r="200" spans="1:9">
      <c r="A200" s="32"/>
      <c r="B200" s="229"/>
      <c r="C200" s="229"/>
      <c r="D200" s="229"/>
      <c r="E200" s="229"/>
      <c r="F200" s="229"/>
      <c r="G200" s="229"/>
      <c r="H200" s="229"/>
      <c r="I200" s="229"/>
    </row>
    <row r="201" spans="1:9">
      <c r="A201" s="32"/>
      <c r="B201" s="229"/>
      <c r="C201" s="229"/>
      <c r="D201" s="229"/>
      <c r="E201" s="229"/>
      <c r="F201" s="229"/>
      <c r="G201" s="229"/>
      <c r="H201" s="229"/>
      <c r="I201" s="229"/>
    </row>
    <row r="202" spans="1:9">
      <c r="A202" s="32"/>
      <c r="B202" s="229"/>
      <c r="C202" s="229"/>
      <c r="D202" s="229"/>
      <c r="E202" s="229"/>
      <c r="F202" s="229"/>
      <c r="G202" s="229"/>
      <c r="H202" s="229"/>
      <c r="I202" s="229"/>
    </row>
    <row r="203" spans="1:9">
      <c r="A203" s="32"/>
      <c r="B203" s="229"/>
      <c r="C203" s="229"/>
      <c r="D203" s="229"/>
      <c r="E203" s="229"/>
      <c r="F203" s="229"/>
      <c r="G203" s="229"/>
      <c r="H203" s="229"/>
      <c r="I203" s="229"/>
    </row>
    <row r="204" spans="1:9">
      <c r="A204" s="32"/>
      <c r="B204" s="229"/>
      <c r="C204" s="229"/>
      <c r="D204" s="229"/>
      <c r="E204" s="229"/>
      <c r="F204" s="229"/>
      <c r="G204" s="229"/>
      <c r="H204" s="229"/>
      <c r="I204" s="229"/>
    </row>
    <row r="205" spans="1:9">
      <c r="A205" s="32"/>
      <c r="B205" s="229"/>
      <c r="C205" s="229"/>
      <c r="D205" s="229"/>
      <c r="E205" s="229"/>
      <c r="F205" s="229"/>
      <c r="G205" s="229"/>
      <c r="H205" s="229"/>
      <c r="I205" s="229"/>
    </row>
    <row r="206" spans="1:9">
      <c r="A206" s="32"/>
      <c r="B206" s="229"/>
      <c r="C206" s="229"/>
      <c r="D206" s="229"/>
      <c r="E206" s="229"/>
      <c r="F206" s="229"/>
      <c r="G206" s="229"/>
      <c r="H206" s="229"/>
      <c r="I206" s="229"/>
    </row>
    <row r="207" spans="1:9">
      <c r="A207" s="32"/>
      <c r="B207" s="229"/>
      <c r="C207" s="229"/>
      <c r="D207" s="229"/>
      <c r="E207" s="229"/>
      <c r="F207" s="229"/>
      <c r="G207" s="229"/>
      <c r="H207" s="229"/>
      <c r="I207" s="229"/>
    </row>
    <row r="208" spans="1:9">
      <c r="A208" s="32"/>
      <c r="B208" s="229"/>
      <c r="C208" s="229"/>
      <c r="D208" s="229"/>
      <c r="E208" s="229"/>
      <c r="F208" s="229"/>
      <c r="G208" s="229"/>
      <c r="H208" s="229"/>
      <c r="I208" s="229"/>
    </row>
    <row r="209" spans="1:9">
      <c r="A209" s="32"/>
      <c r="B209" s="229"/>
      <c r="C209" s="229"/>
      <c r="D209" s="229"/>
      <c r="E209" s="229"/>
      <c r="F209" s="229"/>
      <c r="G209" s="229"/>
      <c r="H209" s="229"/>
      <c r="I209" s="229"/>
    </row>
    <row r="210" spans="1:9">
      <c r="A210" s="32"/>
      <c r="B210" s="229"/>
      <c r="C210" s="229"/>
      <c r="D210" s="229"/>
      <c r="E210" s="229"/>
      <c r="F210" s="229"/>
      <c r="G210" s="229"/>
      <c r="H210" s="229"/>
      <c r="I210" s="229"/>
    </row>
    <row r="211" spans="1:9">
      <c r="A211" s="32"/>
      <c r="B211" s="229"/>
      <c r="C211" s="229"/>
      <c r="D211" s="229"/>
      <c r="E211" s="229"/>
      <c r="F211" s="229"/>
      <c r="G211" s="229"/>
      <c r="H211" s="229"/>
      <c r="I211" s="229"/>
    </row>
    <row r="212" spans="1:9">
      <c r="A212" s="32"/>
      <c r="B212" s="229"/>
      <c r="C212" s="229"/>
      <c r="D212" s="229"/>
      <c r="E212" s="229"/>
      <c r="F212" s="229"/>
      <c r="G212" s="229"/>
      <c r="H212" s="229"/>
      <c r="I212" s="229"/>
    </row>
    <row r="213" spans="1:9">
      <c r="A213" s="32"/>
      <c r="B213" s="229"/>
      <c r="C213" s="229"/>
      <c r="D213" s="229"/>
      <c r="E213" s="229"/>
      <c r="F213" s="229"/>
      <c r="G213" s="229"/>
      <c r="H213" s="229"/>
      <c r="I213" s="229"/>
    </row>
    <row r="214" spans="1:9">
      <c r="A214" s="32"/>
      <c r="B214" s="229"/>
      <c r="C214" s="229"/>
      <c r="D214" s="229"/>
      <c r="E214" s="229"/>
      <c r="F214" s="229"/>
      <c r="G214" s="229"/>
      <c r="H214" s="229"/>
      <c r="I214" s="229"/>
    </row>
    <row r="215" spans="1:9">
      <c r="A215" s="32"/>
      <c r="B215" s="229"/>
      <c r="C215" s="229"/>
      <c r="D215" s="229"/>
      <c r="E215" s="229"/>
      <c r="F215" s="229"/>
      <c r="G215" s="229"/>
      <c r="H215" s="229"/>
      <c r="I215" s="229"/>
    </row>
    <row r="216" spans="1:9">
      <c r="A216" s="32"/>
      <c r="B216" s="229"/>
      <c r="C216" s="229"/>
      <c r="D216" s="229"/>
      <c r="E216" s="229"/>
      <c r="F216" s="229"/>
      <c r="G216" s="229"/>
      <c r="H216" s="229"/>
      <c r="I216" s="229"/>
    </row>
    <row r="217" spans="1:9">
      <c r="A217" s="32"/>
      <c r="B217" s="229"/>
      <c r="C217" s="229"/>
      <c r="D217" s="229"/>
      <c r="E217" s="229"/>
      <c r="F217" s="229"/>
      <c r="G217" s="229"/>
      <c r="H217" s="229"/>
      <c r="I217" s="229"/>
    </row>
    <row r="218" spans="1:9">
      <c r="A218" s="32"/>
      <c r="B218" s="229"/>
      <c r="C218" s="229"/>
      <c r="D218" s="229"/>
      <c r="E218" s="229"/>
      <c r="F218" s="229"/>
      <c r="G218" s="229"/>
      <c r="H218" s="229"/>
      <c r="I218" s="229"/>
    </row>
    <row r="219" spans="1:9">
      <c r="A219" s="32"/>
      <c r="B219" s="229"/>
      <c r="C219" s="229"/>
      <c r="D219" s="229"/>
      <c r="E219" s="229"/>
      <c r="F219" s="229"/>
      <c r="G219" s="229"/>
      <c r="H219" s="229"/>
      <c r="I219" s="229"/>
    </row>
    <row r="220" spans="1:9">
      <c r="A220" s="32"/>
      <c r="B220" s="229"/>
      <c r="C220" s="229"/>
      <c r="D220" s="229"/>
      <c r="E220" s="229"/>
      <c r="F220" s="229"/>
      <c r="G220" s="229"/>
      <c r="H220" s="229"/>
      <c r="I220" s="229"/>
    </row>
    <row r="221" spans="1:9">
      <c r="A221" s="32"/>
      <c r="B221" s="229"/>
      <c r="C221" s="229"/>
      <c r="D221" s="229"/>
      <c r="E221" s="229"/>
      <c r="F221" s="229"/>
      <c r="G221" s="229"/>
      <c r="H221" s="229"/>
      <c r="I221" s="229"/>
    </row>
    <row r="222" spans="1:9">
      <c r="A222" s="32"/>
      <c r="B222" s="229"/>
      <c r="C222" s="229"/>
      <c r="D222" s="229"/>
      <c r="E222" s="229"/>
      <c r="F222" s="229"/>
      <c r="G222" s="229"/>
      <c r="H222" s="229"/>
      <c r="I222" s="229"/>
    </row>
    <row r="223" spans="1:9">
      <c r="A223" s="32"/>
      <c r="B223" s="229"/>
      <c r="C223" s="229"/>
      <c r="D223" s="229"/>
      <c r="E223" s="229"/>
      <c r="F223" s="229"/>
      <c r="G223" s="229"/>
      <c r="H223" s="229"/>
      <c r="I223" s="229"/>
    </row>
    <row r="224" spans="1:9">
      <c r="A224" s="32"/>
      <c r="B224" s="229"/>
      <c r="C224" s="229"/>
      <c r="D224" s="229"/>
      <c r="E224" s="229"/>
      <c r="F224" s="229"/>
      <c r="G224" s="229"/>
      <c r="H224" s="229"/>
      <c r="I224" s="229"/>
    </row>
    <row r="225" spans="1:9">
      <c r="A225" s="32"/>
      <c r="B225" s="229"/>
      <c r="C225" s="229"/>
      <c r="D225" s="229"/>
      <c r="E225" s="229"/>
      <c r="F225" s="229"/>
      <c r="G225" s="229"/>
      <c r="H225" s="229"/>
      <c r="I225" s="229"/>
    </row>
    <row r="226" spans="1:9">
      <c r="A226" s="32"/>
      <c r="B226" s="229"/>
      <c r="C226" s="229"/>
      <c r="D226" s="229"/>
      <c r="E226" s="229"/>
      <c r="F226" s="229"/>
      <c r="G226" s="229"/>
      <c r="H226" s="229"/>
      <c r="I226" s="229"/>
    </row>
    <row r="227" spans="1:9">
      <c r="A227" s="32"/>
      <c r="B227" s="229"/>
      <c r="C227" s="229"/>
      <c r="D227" s="229"/>
      <c r="E227" s="229"/>
      <c r="F227" s="229"/>
      <c r="G227" s="229"/>
      <c r="H227" s="229"/>
      <c r="I227" s="229"/>
    </row>
    <row r="228" spans="1:9">
      <c r="A228" s="32"/>
      <c r="B228" s="229"/>
      <c r="C228" s="229"/>
      <c r="D228" s="229"/>
      <c r="E228" s="229"/>
      <c r="F228" s="229"/>
      <c r="G228" s="229"/>
      <c r="H228" s="229"/>
      <c r="I228" s="229"/>
    </row>
    <row r="229" spans="1:9">
      <c r="A229" s="32"/>
      <c r="B229" s="229"/>
      <c r="C229" s="229"/>
      <c r="D229" s="229"/>
      <c r="E229" s="229"/>
      <c r="F229" s="229"/>
      <c r="G229" s="229"/>
      <c r="H229" s="229"/>
      <c r="I229" s="229"/>
    </row>
    <row r="230" spans="1:9">
      <c r="A230" s="32"/>
      <c r="B230" s="229"/>
      <c r="C230" s="229"/>
      <c r="D230" s="229"/>
      <c r="E230" s="229"/>
      <c r="F230" s="229"/>
      <c r="G230" s="229"/>
      <c r="H230" s="229"/>
      <c r="I230" s="229"/>
    </row>
    <row r="231" spans="1:9">
      <c r="A231" s="32"/>
      <c r="B231" s="229"/>
      <c r="C231" s="229"/>
      <c r="D231" s="229"/>
      <c r="E231" s="229"/>
      <c r="F231" s="229"/>
      <c r="G231" s="229"/>
      <c r="H231" s="229"/>
      <c r="I231" s="229"/>
    </row>
    <row r="232" spans="1:9">
      <c r="A232" s="32"/>
      <c r="B232" s="229"/>
      <c r="C232" s="229"/>
      <c r="D232" s="229"/>
      <c r="E232" s="229"/>
      <c r="F232" s="229"/>
      <c r="G232" s="229"/>
      <c r="H232" s="229"/>
      <c r="I232" s="229"/>
    </row>
    <row r="233" spans="1:9">
      <c r="A233" s="32"/>
      <c r="B233" s="229"/>
      <c r="C233" s="229"/>
      <c r="D233" s="229"/>
      <c r="E233" s="229"/>
      <c r="F233" s="229"/>
      <c r="G233" s="229"/>
      <c r="H233" s="229"/>
      <c r="I233" s="229"/>
    </row>
    <row r="234" spans="1:9">
      <c r="A234" s="32"/>
      <c r="B234" s="229"/>
      <c r="C234" s="229"/>
      <c r="D234" s="229"/>
      <c r="E234" s="229"/>
      <c r="F234" s="229"/>
      <c r="G234" s="229"/>
      <c r="H234" s="229"/>
      <c r="I234" s="229"/>
    </row>
    <row r="235" spans="1:9">
      <c r="A235" s="32"/>
      <c r="B235" s="229"/>
      <c r="C235" s="229"/>
      <c r="D235" s="229"/>
      <c r="E235" s="229"/>
      <c r="F235" s="229"/>
      <c r="G235" s="229"/>
      <c r="H235" s="229"/>
      <c r="I235" s="229"/>
    </row>
    <row r="236" spans="1:9">
      <c r="A236" s="32"/>
      <c r="B236" s="229"/>
      <c r="C236" s="229"/>
      <c r="D236" s="229"/>
      <c r="E236" s="229"/>
      <c r="F236" s="229"/>
      <c r="G236" s="229"/>
      <c r="H236" s="229"/>
      <c r="I236" s="229"/>
    </row>
    <row r="237" spans="1:9">
      <c r="A237" s="32"/>
      <c r="B237" s="229"/>
      <c r="C237" s="229"/>
      <c r="D237" s="229"/>
      <c r="E237" s="229"/>
      <c r="F237" s="229"/>
      <c r="G237" s="229"/>
      <c r="H237" s="229"/>
      <c r="I237" s="229"/>
    </row>
    <row r="238" spans="1:9">
      <c r="A238" s="32"/>
      <c r="B238" s="229"/>
      <c r="C238" s="229"/>
      <c r="D238" s="229"/>
      <c r="E238" s="229"/>
      <c r="F238" s="229"/>
      <c r="G238" s="229"/>
      <c r="H238" s="229"/>
      <c r="I238" s="229"/>
    </row>
    <row r="239" spans="1:9">
      <c r="A239" s="32"/>
      <c r="B239" s="229"/>
      <c r="C239" s="229"/>
      <c r="D239" s="229"/>
      <c r="E239" s="229"/>
      <c r="F239" s="229"/>
      <c r="G239" s="229"/>
      <c r="H239" s="229"/>
      <c r="I239" s="229"/>
    </row>
    <row r="240" spans="1:9">
      <c r="A240" s="32"/>
      <c r="B240" s="229"/>
      <c r="C240" s="229"/>
      <c r="D240" s="229"/>
      <c r="E240" s="229"/>
      <c r="F240" s="229"/>
      <c r="G240" s="229"/>
      <c r="H240" s="229"/>
      <c r="I240" s="229"/>
    </row>
    <row r="241" spans="1:9">
      <c r="A241" s="32"/>
      <c r="B241" s="229"/>
      <c r="C241" s="229"/>
      <c r="D241" s="229"/>
      <c r="E241" s="229"/>
      <c r="F241" s="229"/>
      <c r="G241" s="229"/>
      <c r="H241" s="229"/>
      <c r="I241" s="229"/>
    </row>
    <row r="242" spans="1:9">
      <c r="A242" s="32"/>
      <c r="B242" s="229"/>
      <c r="C242" s="229"/>
      <c r="D242" s="229"/>
      <c r="E242" s="229"/>
      <c r="F242" s="229"/>
      <c r="G242" s="229"/>
      <c r="H242" s="229"/>
      <c r="I242" s="229"/>
    </row>
    <row r="243" spans="1:9">
      <c r="A243" s="32"/>
      <c r="B243" s="229"/>
      <c r="C243" s="229"/>
      <c r="D243" s="229"/>
      <c r="E243" s="229"/>
      <c r="F243" s="229"/>
      <c r="G243" s="229"/>
      <c r="H243" s="229"/>
      <c r="I243" s="229"/>
    </row>
    <row r="244" spans="1:9">
      <c r="A244" s="32"/>
      <c r="B244" s="229"/>
      <c r="C244" s="229"/>
      <c r="D244" s="229"/>
      <c r="E244" s="229"/>
      <c r="F244" s="229"/>
      <c r="G244" s="229"/>
      <c r="H244" s="229"/>
      <c r="I244" s="229"/>
    </row>
    <row r="245" spans="1:9">
      <c r="A245" s="32"/>
      <c r="B245" s="229"/>
      <c r="C245" s="229"/>
      <c r="D245" s="229"/>
      <c r="E245" s="229"/>
      <c r="F245" s="229"/>
      <c r="G245" s="229"/>
      <c r="H245" s="229"/>
      <c r="I245" s="229"/>
    </row>
    <row r="246" spans="1:9">
      <c r="A246" s="32"/>
      <c r="B246" s="229"/>
      <c r="C246" s="229"/>
      <c r="D246" s="229"/>
      <c r="E246" s="229"/>
      <c r="F246" s="229"/>
      <c r="G246" s="229"/>
      <c r="H246" s="229"/>
      <c r="I246" s="229"/>
    </row>
    <row r="247" spans="1:9">
      <c r="A247" s="32"/>
      <c r="B247" s="229"/>
      <c r="C247" s="229"/>
      <c r="D247" s="229"/>
      <c r="E247" s="229"/>
      <c r="F247" s="229"/>
      <c r="G247" s="229"/>
      <c r="H247" s="229"/>
      <c r="I247" s="229"/>
    </row>
    <row r="248" spans="1:9">
      <c r="A248" s="32"/>
      <c r="B248" s="229"/>
      <c r="C248" s="229"/>
      <c r="D248" s="229"/>
      <c r="E248" s="229"/>
      <c r="F248" s="229"/>
      <c r="G248" s="229"/>
      <c r="H248" s="229"/>
      <c r="I248" s="229"/>
    </row>
    <row r="249" spans="1:9">
      <c r="A249" s="32"/>
      <c r="B249" s="229"/>
      <c r="C249" s="229"/>
      <c r="D249" s="229"/>
      <c r="E249" s="229"/>
      <c r="F249" s="229"/>
      <c r="G249" s="229"/>
      <c r="H249" s="229"/>
      <c r="I249" s="229"/>
    </row>
    <row r="250" spans="1:9">
      <c r="A250" s="32"/>
      <c r="B250" s="229"/>
      <c r="C250" s="229"/>
      <c r="D250" s="229"/>
      <c r="E250" s="229"/>
      <c r="F250" s="229"/>
      <c r="G250" s="229"/>
      <c r="H250" s="229"/>
      <c r="I250" s="229"/>
    </row>
    <row r="251" spans="1:9">
      <c r="A251" s="32"/>
      <c r="B251" s="229"/>
      <c r="C251" s="229"/>
      <c r="D251" s="229"/>
      <c r="E251" s="229"/>
      <c r="F251" s="229"/>
      <c r="G251" s="229"/>
      <c r="H251" s="229"/>
      <c r="I251" s="229"/>
    </row>
    <row r="252" spans="1:9">
      <c r="A252" s="32"/>
      <c r="B252" s="229"/>
      <c r="C252" s="229"/>
      <c r="D252" s="229"/>
      <c r="E252" s="229"/>
      <c r="F252" s="229"/>
      <c r="G252" s="229"/>
      <c r="H252" s="229"/>
      <c r="I252" s="229"/>
    </row>
    <row r="253" spans="1:9">
      <c r="A253" s="32"/>
      <c r="B253" s="229"/>
      <c r="C253" s="229"/>
      <c r="D253" s="229"/>
      <c r="E253" s="229"/>
      <c r="F253" s="229"/>
      <c r="G253" s="229"/>
      <c r="H253" s="229"/>
      <c r="I253" s="229"/>
    </row>
    <row r="254" spans="1:9">
      <c r="A254" s="32"/>
      <c r="B254" s="229"/>
      <c r="C254" s="229"/>
      <c r="D254" s="229"/>
      <c r="E254" s="229"/>
      <c r="F254" s="229"/>
      <c r="G254" s="229"/>
      <c r="H254" s="229"/>
      <c r="I254" s="229"/>
    </row>
    <row r="255" spans="1:9">
      <c r="A255" s="32"/>
      <c r="B255" s="229"/>
      <c r="C255" s="229"/>
      <c r="D255" s="229"/>
      <c r="E255" s="229"/>
      <c r="F255" s="229"/>
      <c r="G255" s="229"/>
      <c r="H255" s="229"/>
      <c r="I255" s="229"/>
    </row>
    <row r="256" spans="1:9">
      <c r="A256" s="32"/>
      <c r="B256" s="229"/>
      <c r="C256" s="229"/>
      <c r="D256" s="229"/>
      <c r="E256" s="229"/>
      <c r="F256" s="229"/>
      <c r="G256" s="229"/>
      <c r="H256" s="229"/>
      <c r="I256" s="229"/>
    </row>
    <row r="257" spans="1:9">
      <c r="A257" s="32"/>
      <c r="B257" s="229"/>
      <c r="C257" s="229"/>
      <c r="D257" s="229"/>
      <c r="E257" s="229"/>
      <c r="F257" s="229"/>
      <c r="G257" s="229"/>
      <c r="H257" s="229"/>
      <c r="I257" s="229"/>
    </row>
    <row r="258" spans="1:9">
      <c r="A258" s="32"/>
      <c r="B258" s="229"/>
      <c r="C258" s="229"/>
      <c r="D258" s="229"/>
      <c r="E258" s="229"/>
      <c r="F258" s="229"/>
      <c r="G258" s="229"/>
      <c r="H258" s="229"/>
      <c r="I258" s="229"/>
    </row>
    <row r="259" spans="1:9">
      <c r="A259" s="32"/>
      <c r="B259" s="229"/>
      <c r="C259" s="229"/>
      <c r="D259" s="229"/>
      <c r="E259" s="229"/>
      <c r="F259" s="229"/>
      <c r="G259" s="229"/>
      <c r="H259" s="229"/>
      <c r="I259" s="229"/>
    </row>
    <row r="260" spans="1:9">
      <c r="A260" s="32"/>
      <c r="B260" s="229"/>
      <c r="C260" s="229"/>
      <c r="D260" s="229"/>
      <c r="E260" s="229"/>
      <c r="F260" s="229"/>
      <c r="G260" s="229"/>
      <c r="H260" s="229"/>
      <c r="I260" s="229"/>
    </row>
    <row r="261" spans="1:9">
      <c r="A261" s="32"/>
      <c r="B261" s="229"/>
      <c r="C261" s="229"/>
      <c r="D261" s="229"/>
      <c r="E261" s="229"/>
      <c r="F261" s="229"/>
      <c r="G261" s="229"/>
      <c r="H261" s="229"/>
      <c r="I261" s="229"/>
    </row>
    <row r="262" spans="1:9">
      <c r="A262" s="32"/>
      <c r="B262" s="229"/>
      <c r="C262" s="229"/>
      <c r="D262" s="229"/>
      <c r="E262" s="229"/>
      <c r="F262" s="229"/>
      <c r="G262" s="229"/>
      <c r="H262" s="229"/>
      <c r="I262" s="229"/>
    </row>
    <row r="263" spans="1:9">
      <c r="A263" s="32"/>
      <c r="B263" s="229"/>
      <c r="C263" s="229"/>
      <c r="D263" s="229"/>
      <c r="E263" s="229"/>
      <c r="F263" s="229"/>
      <c r="G263" s="229"/>
      <c r="H263" s="229"/>
      <c r="I263" s="229"/>
    </row>
    <row r="264" spans="1:9">
      <c r="A264" s="32"/>
      <c r="B264" s="229"/>
      <c r="C264" s="229"/>
      <c r="D264" s="229"/>
      <c r="E264" s="229"/>
      <c r="F264" s="229"/>
      <c r="G264" s="229"/>
      <c r="H264" s="229"/>
      <c r="I264" s="229"/>
    </row>
    <row r="265" spans="1:9">
      <c r="A265" s="32"/>
      <c r="B265" s="229"/>
      <c r="C265" s="229"/>
      <c r="D265" s="229"/>
      <c r="E265" s="229"/>
      <c r="F265" s="229"/>
      <c r="G265" s="229"/>
      <c r="H265" s="229"/>
      <c r="I265" s="229"/>
    </row>
    <row r="266" spans="1:9">
      <c r="A266" s="32"/>
      <c r="B266" s="229"/>
      <c r="C266" s="229"/>
      <c r="D266" s="229"/>
      <c r="E266" s="229"/>
      <c r="F266" s="229"/>
      <c r="G266" s="229"/>
      <c r="H266" s="229"/>
      <c r="I266" s="229"/>
    </row>
    <row r="267" spans="1:9">
      <c r="A267" s="32"/>
      <c r="B267" s="229"/>
      <c r="C267" s="229"/>
      <c r="D267" s="229"/>
      <c r="E267" s="229"/>
      <c r="F267" s="229"/>
      <c r="G267" s="229"/>
      <c r="H267" s="229"/>
      <c r="I267" s="229"/>
    </row>
    <row r="268" spans="1:9">
      <c r="A268" s="32"/>
      <c r="B268" s="229"/>
      <c r="C268" s="229"/>
      <c r="D268" s="229"/>
      <c r="E268" s="229"/>
      <c r="F268" s="229"/>
      <c r="G268" s="229"/>
      <c r="H268" s="229"/>
      <c r="I268" s="229"/>
    </row>
    <row r="269" spans="1:9">
      <c r="A269" s="32"/>
      <c r="B269" s="229"/>
      <c r="C269" s="229"/>
      <c r="D269" s="229"/>
      <c r="E269" s="229"/>
      <c r="F269" s="229"/>
      <c r="G269" s="229"/>
      <c r="H269" s="229"/>
      <c r="I269" s="229"/>
    </row>
    <row r="270" spans="1:9">
      <c r="A270" s="32"/>
      <c r="B270" s="229"/>
      <c r="C270" s="229"/>
      <c r="D270" s="229"/>
      <c r="E270" s="229"/>
      <c r="F270" s="229"/>
      <c r="G270" s="229"/>
      <c r="H270" s="229"/>
      <c r="I270" s="229"/>
    </row>
    <row r="271" spans="1:9">
      <c r="A271" s="32"/>
      <c r="B271" s="229"/>
      <c r="C271" s="229"/>
      <c r="D271" s="229"/>
      <c r="E271" s="229"/>
      <c r="F271" s="229"/>
      <c r="G271" s="229"/>
      <c r="H271" s="229"/>
      <c r="I271" s="229"/>
    </row>
    <row r="272" spans="1:9">
      <c r="A272" s="32"/>
      <c r="B272" s="229"/>
      <c r="C272" s="229"/>
      <c r="D272" s="229"/>
      <c r="E272" s="229"/>
      <c r="F272" s="229"/>
      <c r="G272" s="229"/>
      <c r="H272" s="229"/>
      <c r="I272" s="229"/>
    </row>
    <row r="273" spans="1:9">
      <c r="A273" s="32"/>
      <c r="B273" s="229"/>
      <c r="C273" s="229"/>
      <c r="D273" s="229"/>
      <c r="E273" s="229"/>
      <c r="F273" s="229"/>
      <c r="G273" s="229"/>
      <c r="H273" s="229"/>
      <c r="I273" s="229"/>
    </row>
    <row r="274" spans="1:9">
      <c r="A274" s="32"/>
      <c r="B274" s="229"/>
      <c r="C274" s="229"/>
      <c r="D274" s="229"/>
      <c r="E274" s="229"/>
      <c r="F274" s="229"/>
      <c r="G274" s="229"/>
      <c r="H274" s="229"/>
      <c r="I274" s="229"/>
    </row>
    <row r="275" spans="1:9">
      <c r="A275" s="32"/>
      <c r="B275" s="229"/>
      <c r="C275" s="229"/>
      <c r="D275" s="229"/>
      <c r="E275" s="229"/>
      <c r="F275" s="229"/>
      <c r="G275" s="229"/>
      <c r="H275" s="229"/>
      <c r="I275" s="229"/>
    </row>
    <row r="276" spans="1:9">
      <c r="A276" s="32"/>
      <c r="B276" s="229"/>
      <c r="C276" s="229"/>
      <c r="D276" s="229"/>
      <c r="E276" s="229"/>
      <c r="F276" s="229"/>
      <c r="G276" s="229"/>
      <c r="H276" s="229"/>
      <c r="I276" s="229"/>
    </row>
    <row r="277" spans="1:9">
      <c r="A277" s="32"/>
      <c r="B277" s="229"/>
      <c r="C277" s="229"/>
      <c r="D277" s="229"/>
      <c r="E277" s="229"/>
      <c r="F277" s="229"/>
      <c r="G277" s="229"/>
      <c r="H277" s="229"/>
      <c r="I277" s="229"/>
    </row>
    <row r="278" spans="1:9">
      <c r="A278" s="32"/>
      <c r="B278" s="229"/>
      <c r="C278" s="229"/>
      <c r="D278" s="229"/>
      <c r="E278" s="229"/>
      <c r="F278" s="229"/>
      <c r="G278" s="229"/>
      <c r="H278" s="229"/>
      <c r="I278" s="229"/>
    </row>
    <row r="279" spans="1:9">
      <c r="A279" s="32"/>
      <c r="B279" s="229"/>
      <c r="C279" s="229"/>
      <c r="D279" s="229"/>
      <c r="E279" s="229"/>
      <c r="F279" s="229"/>
      <c r="G279" s="229"/>
      <c r="H279" s="229"/>
      <c r="I279" s="229"/>
    </row>
    <row r="280" spans="1:9">
      <c r="A280" s="32"/>
      <c r="B280" s="229"/>
      <c r="C280" s="229"/>
      <c r="D280" s="229"/>
      <c r="E280" s="229"/>
      <c r="F280" s="229"/>
      <c r="G280" s="229"/>
      <c r="H280" s="229"/>
      <c r="I280" s="229"/>
    </row>
    <row r="281" spans="1:9">
      <c r="A281" s="32"/>
      <c r="B281" s="229"/>
      <c r="C281" s="229"/>
      <c r="D281" s="229"/>
      <c r="E281" s="229"/>
      <c r="F281" s="229"/>
      <c r="G281" s="229"/>
      <c r="H281" s="229"/>
      <c r="I281" s="229"/>
    </row>
    <row r="282" spans="1:9">
      <c r="A282" s="32"/>
      <c r="B282" s="229"/>
      <c r="C282" s="229"/>
      <c r="D282" s="229"/>
      <c r="E282" s="229"/>
      <c r="F282" s="229"/>
      <c r="G282" s="229"/>
      <c r="H282" s="229"/>
      <c r="I282" s="229"/>
    </row>
    <row r="283" spans="1:9">
      <c r="A283" s="32"/>
      <c r="B283" s="229"/>
      <c r="C283" s="229"/>
      <c r="D283" s="229"/>
      <c r="E283" s="229"/>
      <c r="F283" s="229"/>
      <c r="G283" s="229"/>
      <c r="H283" s="229"/>
      <c r="I283" s="229"/>
    </row>
    <row r="284" spans="1:9">
      <c r="A284" s="32"/>
      <c r="B284" s="229"/>
      <c r="C284" s="229"/>
      <c r="D284" s="229"/>
      <c r="E284" s="229"/>
      <c r="F284" s="229"/>
      <c r="G284" s="229"/>
      <c r="H284" s="229"/>
      <c r="I284" s="229"/>
    </row>
    <row r="285" spans="1:9">
      <c r="A285" s="32"/>
      <c r="B285" s="229"/>
      <c r="C285" s="229"/>
      <c r="D285" s="229"/>
      <c r="E285" s="229"/>
      <c r="F285" s="229"/>
      <c r="G285" s="229"/>
      <c r="H285" s="229"/>
      <c r="I285" s="229"/>
    </row>
    <row r="286" spans="1:9">
      <c r="A286" s="32"/>
      <c r="B286" s="229"/>
      <c r="C286" s="229"/>
      <c r="D286" s="229"/>
      <c r="E286" s="229"/>
      <c r="F286" s="229"/>
      <c r="G286" s="229"/>
      <c r="H286" s="229"/>
      <c r="I286" s="229"/>
    </row>
    <row r="287" spans="1:9">
      <c r="A287" s="32"/>
      <c r="B287" s="229"/>
      <c r="C287" s="229"/>
      <c r="D287" s="229"/>
      <c r="E287" s="229"/>
      <c r="F287" s="229"/>
      <c r="G287" s="229"/>
      <c r="H287" s="229"/>
      <c r="I287" s="229"/>
    </row>
    <row r="288" spans="1:9">
      <c r="A288" s="32"/>
      <c r="B288" s="229"/>
      <c r="C288" s="229"/>
      <c r="D288" s="229"/>
      <c r="E288" s="229"/>
      <c r="F288" s="229"/>
      <c r="G288" s="229"/>
      <c r="H288" s="229"/>
      <c r="I288" s="229"/>
    </row>
    <row r="289" spans="1:9">
      <c r="A289" s="32"/>
      <c r="B289" s="229"/>
      <c r="C289" s="229"/>
      <c r="D289" s="229"/>
      <c r="E289" s="229"/>
      <c r="F289" s="229"/>
      <c r="G289" s="229"/>
      <c r="H289" s="229"/>
      <c r="I289" s="229"/>
    </row>
    <row r="290" spans="1:9">
      <c r="A290" s="32"/>
      <c r="B290" s="229"/>
      <c r="C290" s="229"/>
      <c r="D290" s="229"/>
      <c r="E290" s="229"/>
      <c r="F290" s="229"/>
      <c r="G290" s="229"/>
      <c r="H290" s="229"/>
      <c r="I290" s="229"/>
    </row>
    <row r="291" spans="1:9">
      <c r="A291" s="32"/>
      <c r="B291" s="229"/>
      <c r="C291" s="229"/>
      <c r="D291" s="229"/>
      <c r="E291" s="229"/>
      <c r="F291" s="229"/>
      <c r="G291" s="229"/>
      <c r="H291" s="229"/>
      <c r="I291" s="229"/>
    </row>
    <row r="292" spans="1:9">
      <c r="A292" s="32"/>
      <c r="B292" s="229"/>
      <c r="C292" s="229"/>
      <c r="D292" s="229"/>
      <c r="E292" s="229"/>
      <c r="F292" s="229"/>
      <c r="G292" s="229"/>
      <c r="H292" s="229"/>
      <c r="I292" s="229"/>
    </row>
    <row r="293" spans="1:9">
      <c r="A293" s="32"/>
      <c r="B293" s="229"/>
      <c r="C293" s="229"/>
      <c r="D293" s="229"/>
      <c r="E293" s="229"/>
      <c r="F293" s="229"/>
      <c r="G293" s="229"/>
      <c r="H293" s="229"/>
      <c r="I293" s="229"/>
    </row>
    <row r="294" spans="1:9">
      <c r="A294" s="32"/>
      <c r="B294" s="229"/>
      <c r="C294" s="229"/>
      <c r="D294" s="229"/>
      <c r="E294" s="229"/>
      <c r="F294" s="229"/>
      <c r="G294" s="229"/>
      <c r="H294" s="229"/>
      <c r="I294" s="229"/>
    </row>
    <row r="295" spans="1:9">
      <c r="A295" s="32"/>
      <c r="B295" s="229"/>
      <c r="C295" s="229"/>
      <c r="D295" s="229"/>
      <c r="E295" s="229"/>
      <c r="F295" s="229"/>
      <c r="G295" s="229"/>
      <c r="H295" s="229"/>
      <c r="I295" s="229"/>
    </row>
    <row r="296" spans="1:9">
      <c r="A296" s="32"/>
      <c r="B296" s="229"/>
      <c r="C296" s="229"/>
      <c r="D296" s="229"/>
      <c r="E296" s="229"/>
      <c r="F296" s="229"/>
      <c r="G296" s="229"/>
      <c r="H296" s="229"/>
      <c r="I296" s="229"/>
    </row>
    <row r="297" spans="1:9">
      <c r="A297" s="32"/>
      <c r="B297" s="229"/>
      <c r="C297" s="229"/>
      <c r="D297" s="229"/>
      <c r="E297" s="229"/>
      <c r="F297" s="229"/>
      <c r="G297" s="229"/>
      <c r="H297" s="229"/>
      <c r="I297" s="229"/>
    </row>
    <row r="298" spans="1:9">
      <c r="A298" s="32"/>
      <c r="B298" s="229"/>
      <c r="C298" s="229"/>
      <c r="D298" s="229"/>
      <c r="E298" s="229"/>
      <c r="F298" s="229"/>
      <c r="G298" s="229"/>
      <c r="H298" s="229"/>
      <c r="I298" s="229"/>
    </row>
    <row r="299" spans="1:9">
      <c r="A299" s="32"/>
      <c r="B299" s="229"/>
      <c r="C299" s="229"/>
      <c r="D299" s="229"/>
      <c r="E299" s="229"/>
      <c r="F299" s="229"/>
      <c r="G299" s="229"/>
      <c r="H299" s="229"/>
      <c r="I299" s="229"/>
    </row>
    <row r="300" spans="1:9">
      <c r="A300" s="32"/>
      <c r="B300" s="229"/>
      <c r="C300" s="229"/>
      <c r="D300" s="229"/>
      <c r="E300" s="229"/>
      <c r="F300" s="229"/>
      <c r="G300" s="229"/>
      <c r="H300" s="229"/>
      <c r="I300" s="229"/>
    </row>
    <row r="301" spans="1:9">
      <c r="A301" s="32"/>
      <c r="B301" s="229"/>
      <c r="C301" s="229"/>
      <c r="D301" s="229"/>
      <c r="E301" s="229"/>
      <c r="F301" s="229"/>
      <c r="G301" s="229"/>
      <c r="H301" s="229"/>
      <c r="I301" s="229"/>
    </row>
    <row r="302" spans="1:9">
      <c r="A302" s="32"/>
      <c r="B302" s="229"/>
      <c r="C302" s="229"/>
      <c r="D302" s="229"/>
      <c r="E302" s="229"/>
      <c r="F302" s="229"/>
      <c r="G302" s="229"/>
      <c r="H302" s="229"/>
      <c r="I302" s="229"/>
    </row>
    <row r="303" spans="1:9">
      <c r="A303" s="32"/>
      <c r="B303" s="229"/>
      <c r="C303" s="229"/>
      <c r="D303" s="229"/>
      <c r="E303" s="229"/>
      <c r="F303" s="229"/>
      <c r="G303" s="229"/>
      <c r="H303" s="229"/>
      <c r="I303" s="229"/>
    </row>
    <row r="304" spans="1:9">
      <c r="A304" s="32"/>
      <c r="B304" s="229"/>
      <c r="C304" s="229"/>
      <c r="D304" s="229"/>
      <c r="E304" s="229"/>
      <c r="F304" s="229"/>
      <c r="G304" s="229"/>
      <c r="H304" s="229"/>
      <c r="I304" s="229"/>
    </row>
    <row r="305" spans="1:9">
      <c r="A305" s="32"/>
      <c r="B305" s="229"/>
      <c r="C305" s="229"/>
      <c r="D305" s="229"/>
      <c r="E305" s="229"/>
      <c r="F305" s="229"/>
      <c r="G305" s="229"/>
      <c r="H305" s="229"/>
      <c r="I305" s="229"/>
    </row>
    <row r="306" spans="1:9">
      <c r="A306" s="32"/>
      <c r="B306" s="229"/>
      <c r="C306" s="229"/>
      <c r="D306" s="229"/>
      <c r="E306" s="229"/>
      <c r="F306" s="229"/>
      <c r="G306" s="229"/>
      <c r="H306" s="229"/>
      <c r="I306" s="229"/>
    </row>
    <row r="307" spans="1:9">
      <c r="A307" s="32"/>
      <c r="B307" s="229"/>
      <c r="C307" s="229"/>
      <c r="D307" s="229"/>
      <c r="E307" s="229"/>
      <c r="F307" s="229"/>
      <c r="G307" s="229"/>
      <c r="H307" s="229"/>
      <c r="I307" s="229"/>
    </row>
    <row r="308" spans="1:9">
      <c r="A308" s="32"/>
      <c r="B308" s="229"/>
      <c r="C308" s="229"/>
      <c r="D308" s="229"/>
      <c r="E308" s="229"/>
      <c r="F308" s="229"/>
      <c r="G308" s="229"/>
      <c r="H308" s="229"/>
      <c r="I308" s="229"/>
    </row>
    <row r="309" spans="1:9">
      <c r="A309" s="32"/>
      <c r="B309" s="229"/>
      <c r="C309" s="229"/>
      <c r="D309" s="229"/>
      <c r="E309" s="229"/>
      <c r="F309" s="229"/>
      <c r="G309" s="229"/>
      <c r="H309" s="229"/>
      <c r="I309" s="229"/>
    </row>
    <row r="310" spans="1:9">
      <c r="A310" s="32"/>
      <c r="B310" s="229"/>
      <c r="C310" s="229"/>
      <c r="D310" s="229"/>
      <c r="E310" s="229"/>
      <c r="F310" s="229"/>
      <c r="G310" s="229"/>
      <c r="H310" s="229"/>
      <c r="I310" s="229"/>
    </row>
    <row r="311" spans="1:9">
      <c r="A311" s="32"/>
      <c r="B311" s="229"/>
      <c r="C311" s="229"/>
      <c r="D311" s="229"/>
      <c r="E311" s="229"/>
      <c r="F311" s="229"/>
      <c r="G311" s="229"/>
      <c r="H311" s="229"/>
      <c r="I311" s="229"/>
    </row>
    <row r="312" spans="1:9">
      <c r="A312" s="32"/>
      <c r="B312" s="229"/>
      <c r="C312" s="229"/>
      <c r="D312" s="229"/>
      <c r="E312" s="229"/>
      <c r="F312" s="229"/>
      <c r="G312" s="229"/>
      <c r="H312" s="229"/>
      <c r="I312" s="229"/>
    </row>
    <row r="313" spans="1:9">
      <c r="A313" s="32"/>
      <c r="B313" s="229"/>
      <c r="C313" s="229"/>
      <c r="D313" s="229"/>
      <c r="E313" s="229"/>
      <c r="F313" s="229"/>
      <c r="G313" s="229"/>
      <c r="H313" s="229"/>
      <c r="I313" s="229"/>
    </row>
    <row r="314" spans="1:9">
      <c r="A314" s="32"/>
      <c r="B314" s="229"/>
      <c r="C314" s="229"/>
      <c r="D314" s="229"/>
      <c r="E314" s="229"/>
      <c r="F314" s="229"/>
      <c r="G314" s="229"/>
      <c r="H314" s="229"/>
      <c r="I314" s="229"/>
    </row>
    <row r="315" spans="1:9">
      <c r="A315" s="32"/>
      <c r="B315" s="229"/>
      <c r="C315" s="229"/>
      <c r="D315" s="229"/>
      <c r="E315" s="229"/>
      <c r="F315" s="229"/>
      <c r="G315" s="229"/>
      <c r="H315" s="229"/>
      <c r="I315" s="229"/>
    </row>
    <row r="316" spans="1:9">
      <c r="A316" s="32"/>
      <c r="B316" s="229"/>
      <c r="C316" s="229"/>
      <c r="D316" s="229"/>
      <c r="E316" s="229"/>
      <c r="F316" s="229"/>
      <c r="G316" s="229"/>
      <c r="H316" s="229"/>
      <c r="I316" s="229"/>
    </row>
    <row r="317" spans="1:9">
      <c r="A317" s="32"/>
      <c r="B317" s="229"/>
      <c r="C317" s="229"/>
      <c r="D317" s="229"/>
      <c r="E317" s="229"/>
      <c r="F317" s="229"/>
      <c r="G317" s="229"/>
      <c r="H317" s="229"/>
      <c r="I317" s="229"/>
    </row>
    <row r="318" spans="1:9">
      <c r="A318" s="32"/>
      <c r="B318" s="229"/>
      <c r="C318" s="229"/>
      <c r="D318" s="229"/>
      <c r="E318" s="229"/>
      <c r="F318" s="229"/>
      <c r="G318" s="229"/>
      <c r="H318" s="229"/>
      <c r="I318" s="229"/>
    </row>
    <row r="319" spans="1:9">
      <c r="A319" s="32"/>
      <c r="B319" s="229"/>
      <c r="C319" s="229"/>
      <c r="D319" s="229"/>
      <c r="E319" s="229"/>
      <c r="F319" s="229"/>
      <c r="G319" s="229"/>
      <c r="H319" s="229"/>
      <c r="I319" s="229"/>
    </row>
    <row r="320" spans="1:9">
      <c r="A320" s="32"/>
      <c r="B320" s="229"/>
      <c r="C320" s="229"/>
      <c r="D320" s="229"/>
      <c r="E320" s="229"/>
      <c r="F320" s="229"/>
      <c r="G320" s="229"/>
      <c r="H320" s="229"/>
      <c r="I320" s="229"/>
    </row>
    <row r="321" spans="1:9">
      <c r="A321" s="32"/>
      <c r="B321" s="229"/>
      <c r="C321" s="229"/>
      <c r="D321" s="229"/>
      <c r="E321" s="229"/>
      <c r="F321" s="229"/>
      <c r="G321" s="229"/>
      <c r="H321" s="229"/>
      <c r="I321" s="229"/>
    </row>
    <row r="322" spans="1:9">
      <c r="A322" s="32"/>
      <c r="B322" s="229"/>
      <c r="C322" s="229"/>
      <c r="D322" s="229"/>
      <c r="E322" s="229"/>
      <c r="F322" s="229"/>
      <c r="G322" s="229"/>
      <c r="H322" s="229"/>
      <c r="I322" s="229"/>
    </row>
    <row r="323" spans="1:9">
      <c r="A323" s="32"/>
      <c r="B323" s="229"/>
      <c r="C323" s="229"/>
      <c r="D323" s="229"/>
      <c r="E323" s="229"/>
      <c r="F323" s="229"/>
      <c r="G323" s="229"/>
      <c r="H323" s="229"/>
      <c r="I323" s="229"/>
    </row>
    <row r="324" spans="1:9">
      <c r="A324" s="32"/>
      <c r="B324" s="229"/>
      <c r="C324" s="229"/>
      <c r="D324" s="229"/>
      <c r="E324" s="229"/>
      <c r="F324" s="229"/>
      <c r="G324" s="229"/>
      <c r="H324" s="229"/>
      <c r="I324" s="229"/>
    </row>
    <row r="325" spans="1:9">
      <c r="A325" s="32"/>
      <c r="B325" s="229"/>
      <c r="C325" s="229"/>
      <c r="D325" s="229"/>
      <c r="E325" s="229"/>
      <c r="F325" s="229"/>
      <c r="G325" s="229"/>
      <c r="H325" s="229"/>
      <c r="I325" s="229"/>
    </row>
    <row r="326" spans="1:9">
      <c r="A326" s="32"/>
      <c r="B326" s="229"/>
      <c r="C326" s="229"/>
      <c r="D326" s="229"/>
      <c r="E326" s="229"/>
      <c r="F326" s="229"/>
      <c r="G326" s="229"/>
      <c r="H326" s="229"/>
      <c r="I326" s="229"/>
    </row>
    <row r="327" spans="1:9">
      <c r="A327" s="32"/>
      <c r="B327" s="229"/>
      <c r="C327" s="229"/>
      <c r="D327" s="229"/>
      <c r="E327" s="229"/>
      <c r="F327" s="229"/>
      <c r="G327" s="229"/>
      <c r="H327" s="229"/>
      <c r="I327" s="229"/>
    </row>
    <row r="328" spans="1:9">
      <c r="A328" s="32"/>
      <c r="B328" s="229"/>
      <c r="C328" s="229"/>
      <c r="D328" s="229"/>
      <c r="E328" s="229"/>
      <c r="F328" s="229"/>
      <c r="G328" s="229"/>
      <c r="H328" s="229"/>
      <c r="I328" s="229"/>
    </row>
    <row r="329" spans="1:9">
      <c r="A329" s="32"/>
      <c r="B329" s="229"/>
      <c r="C329" s="229"/>
      <c r="D329" s="229"/>
      <c r="E329" s="229"/>
      <c r="F329" s="229"/>
      <c r="G329" s="229"/>
      <c r="H329" s="229"/>
      <c r="I329" s="229"/>
    </row>
    <row r="330" spans="1:9">
      <c r="A330" s="32"/>
      <c r="B330" s="229"/>
      <c r="C330" s="229"/>
      <c r="D330" s="229"/>
      <c r="E330" s="229"/>
      <c r="F330" s="229"/>
      <c r="G330" s="229"/>
      <c r="H330" s="229"/>
      <c r="I330" s="229"/>
    </row>
    <row r="331" spans="1:9">
      <c r="A331" s="32"/>
      <c r="B331" s="229"/>
      <c r="C331" s="229"/>
      <c r="D331" s="229"/>
      <c r="E331" s="229"/>
      <c r="F331" s="229"/>
      <c r="G331" s="229"/>
      <c r="H331" s="229"/>
      <c r="I331" s="229"/>
    </row>
    <row r="332" spans="1:9">
      <c r="A332" s="32"/>
      <c r="B332" s="229"/>
      <c r="C332" s="229"/>
      <c r="D332" s="229"/>
      <c r="E332" s="229"/>
      <c r="F332" s="229"/>
      <c r="G332" s="229"/>
      <c r="H332" s="229"/>
      <c r="I332" s="229"/>
    </row>
    <row r="333" spans="1:9">
      <c r="A333" s="32"/>
      <c r="B333" s="229"/>
      <c r="C333" s="229"/>
      <c r="D333" s="229"/>
      <c r="E333" s="229"/>
      <c r="F333" s="229"/>
      <c r="G333" s="229"/>
      <c r="H333" s="229"/>
      <c r="I333" s="229"/>
    </row>
    <row r="334" spans="1:9">
      <c r="A334" s="32"/>
      <c r="B334" s="229"/>
      <c r="C334" s="229"/>
      <c r="D334" s="229"/>
      <c r="E334" s="229"/>
      <c r="F334" s="229"/>
      <c r="G334" s="229"/>
      <c r="H334" s="229"/>
      <c r="I334" s="229"/>
    </row>
    <row r="335" spans="1:9">
      <c r="A335" s="32"/>
      <c r="B335" s="229"/>
      <c r="C335" s="229"/>
      <c r="D335" s="229"/>
      <c r="E335" s="229"/>
      <c r="F335" s="229"/>
      <c r="G335" s="229"/>
      <c r="H335" s="229"/>
      <c r="I335" s="229"/>
    </row>
    <row r="336" spans="1:9">
      <c r="A336" s="32"/>
      <c r="B336" s="229"/>
      <c r="C336" s="229"/>
      <c r="D336" s="229"/>
      <c r="E336" s="229"/>
      <c r="F336" s="229"/>
      <c r="G336" s="229"/>
      <c r="H336" s="229"/>
      <c r="I336" s="229"/>
    </row>
    <row r="337" spans="1:9">
      <c r="A337" s="32"/>
      <c r="B337" s="229"/>
      <c r="C337" s="229"/>
      <c r="D337" s="229"/>
      <c r="E337" s="229"/>
      <c r="F337" s="229"/>
      <c r="G337" s="229"/>
      <c r="H337" s="229"/>
      <c r="I337" s="229"/>
    </row>
    <row r="338" spans="1:9">
      <c r="A338" s="32"/>
      <c r="B338" s="229"/>
      <c r="C338" s="229"/>
      <c r="D338" s="229"/>
      <c r="E338" s="229"/>
      <c r="F338" s="229"/>
      <c r="G338" s="229"/>
      <c r="H338" s="229"/>
      <c r="I338" s="229"/>
    </row>
    <row r="339" spans="1:9">
      <c r="A339" s="32"/>
      <c r="B339" s="229"/>
      <c r="C339" s="229"/>
      <c r="D339" s="229"/>
      <c r="E339" s="229"/>
      <c r="F339" s="229"/>
      <c r="G339" s="229"/>
      <c r="H339" s="229"/>
      <c r="I339" s="229"/>
    </row>
    <row r="340" spans="1:9">
      <c r="A340" s="32"/>
      <c r="B340" s="229"/>
      <c r="C340" s="229"/>
      <c r="D340" s="229"/>
      <c r="E340" s="229"/>
      <c r="F340" s="229"/>
      <c r="G340" s="229"/>
      <c r="H340" s="229"/>
      <c r="I340" s="229"/>
    </row>
    <row r="341" spans="1:9">
      <c r="A341" s="32"/>
      <c r="B341" s="229"/>
      <c r="C341" s="229"/>
      <c r="D341" s="229"/>
      <c r="E341" s="229"/>
      <c r="F341" s="229"/>
      <c r="G341" s="229"/>
      <c r="H341" s="229"/>
      <c r="I341" s="229"/>
    </row>
    <row r="342" spans="1:9">
      <c r="A342" s="32"/>
      <c r="B342" s="229"/>
      <c r="C342" s="229"/>
      <c r="D342" s="229"/>
      <c r="E342" s="229"/>
      <c r="F342" s="229"/>
      <c r="G342" s="229"/>
      <c r="H342" s="229"/>
      <c r="I342" s="229"/>
    </row>
  </sheetData>
  <mergeCells count="119">
    <mergeCell ref="F116:H116"/>
    <mergeCell ref="A2:N2"/>
    <mergeCell ref="A1:N1"/>
    <mergeCell ref="I98:N98"/>
    <mergeCell ref="I99:N99"/>
    <mergeCell ref="I100:N100"/>
    <mergeCell ref="I101:N101"/>
    <mergeCell ref="I96:N96"/>
    <mergeCell ref="I102:N102"/>
    <mergeCell ref="I97:N97"/>
    <mergeCell ref="I76:N76"/>
    <mergeCell ref="I77:N77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  <mergeCell ref="I25:N25"/>
    <mergeCell ref="I33:N33"/>
    <mergeCell ref="I41:N41"/>
    <mergeCell ref="I110:N110"/>
    <mergeCell ref="I112:N112"/>
    <mergeCell ref="I111:N111"/>
    <mergeCell ref="I104:N104"/>
    <mergeCell ref="I105:N105"/>
    <mergeCell ref="I106:N106"/>
    <mergeCell ref="I107:N107"/>
    <mergeCell ref="I109:N109"/>
    <mergeCell ref="I108:N108"/>
    <mergeCell ref="I103:N103"/>
    <mergeCell ref="I52:N52"/>
    <mergeCell ref="I63:N63"/>
    <mergeCell ref="I88:N88"/>
    <mergeCell ref="I89:N89"/>
    <mergeCell ref="I90:N90"/>
    <mergeCell ref="I91:N91"/>
    <mergeCell ref="I95:N95"/>
    <mergeCell ref="I92:N92"/>
    <mergeCell ref="I93:N93"/>
    <mergeCell ref="I94:N94"/>
    <mergeCell ref="C117:D117"/>
    <mergeCell ref="C116:D116"/>
    <mergeCell ref="F117:H117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4:N84"/>
    <mergeCell ref="I56:N56"/>
    <mergeCell ref="I57:N57"/>
    <mergeCell ref="I64:N6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H6:N6"/>
    <mergeCell ref="I34:N34"/>
    <mergeCell ref="H8:N8"/>
    <mergeCell ref="F11:H11"/>
    <mergeCell ref="I83:N83"/>
    <mergeCell ref="I87:N87"/>
    <mergeCell ref="I58:N58"/>
    <mergeCell ref="I59:N59"/>
    <mergeCell ref="I60:N60"/>
    <mergeCell ref="I61:N61"/>
    <mergeCell ref="I86:N86"/>
    <mergeCell ref="I81:N81"/>
    <mergeCell ref="I82:N82"/>
    <mergeCell ref="I74:N74"/>
    <mergeCell ref="I75:N75"/>
    <mergeCell ref="I53:N53"/>
    <mergeCell ref="I54:N54"/>
    <mergeCell ref="I46:N46"/>
    <mergeCell ref="I85:N85"/>
    <mergeCell ref="I78:N78"/>
    <mergeCell ref="I79:N79"/>
    <mergeCell ref="I80:N80"/>
    <mergeCell ref="I62:N62"/>
    <mergeCell ref="I24:N24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1" max="13" man="1"/>
    <brk id="8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0"/>
  <sheetViews>
    <sheetView topLeftCell="A10" zoomScale="73" zoomScaleNormal="73" zoomScaleSheetLayoutView="75" workbookViewId="0">
      <selection activeCell="F8" sqref="F8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29" t="s">
        <v>256</v>
      </c>
      <c r="B1" s="329"/>
      <c r="C1" s="329"/>
      <c r="D1" s="329"/>
      <c r="E1" s="329"/>
      <c r="F1" s="329"/>
      <c r="G1" s="329"/>
      <c r="H1" s="329"/>
    </row>
    <row r="2" spans="1:8">
      <c r="A2" s="329"/>
      <c r="B2" s="329"/>
      <c r="C2" s="329"/>
      <c r="D2" s="329"/>
      <c r="E2" s="329"/>
      <c r="F2" s="329"/>
      <c r="G2" s="329"/>
      <c r="H2" s="329"/>
    </row>
    <row r="3" spans="1:8" ht="66.75" customHeight="1">
      <c r="A3" s="330" t="s">
        <v>28</v>
      </c>
      <c r="B3" s="331" t="s">
        <v>29</v>
      </c>
      <c r="C3" s="276" t="s">
        <v>176</v>
      </c>
      <c r="D3" s="276"/>
      <c r="E3" s="330" t="s">
        <v>31</v>
      </c>
      <c r="F3" s="330"/>
      <c r="G3" s="330"/>
      <c r="H3" s="330"/>
    </row>
    <row r="4" spans="1:8" ht="39" customHeight="1">
      <c r="A4" s="330"/>
      <c r="B4" s="331"/>
      <c r="C4" s="205" t="s">
        <v>32</v>
      </c>
      <c r="D4" s="205" t="s">
        <v>33</v>
      </c>
      <c r="E4" s="205" t="s">
        <v>34</v>
      </c>
      <c r="F4" s="205" t="s">
        <v>35</v>
      </c>
      <c r="G4" s="226" t="s">
        <v>36</v>
      </c>
      <c r="H4" s="226" t="s">
        <v>180</v>
      </c>
    </row>
    <row r="5" spans="1:8">
      <c r="A5" s="218">
        <v>1</v>
      </c>
      <c r="B5" s="219">
        <v>2</v>
      </c>
      <c r="C5" s="218">
        <v>3</v>
      </c>
      <c r="D5" s="219">
        <v>4</v>
      </c>
      <c r="E5" s="218">
        <v>5</v>
      </c>
      <c r="F5" s="219">
        <v>6</v>
      </c>
      <c r="G5" s="218">
        <v>7</v>
      </c>
      <c r="H5" s="219">
        <v>8</v>
      </c>
    </row>
    <row r="6" spans="1:8" ht="22.5" customHeight="1">
      <c r="A6" s="332" t="s">
        <v>257</v>
      </c>
      <c r="B6" s="333"/>
      <c r="C6" s="333"/>
      <c r="D6" s="333"/>
      <c r="E6" s="333"/>
      <c r="F6" s="333"/>
      <c r="G6" s="333"/>
      <c r="H6" s="334"/>
    </row>
    <row r="7" spans="1:8" ht="22.5" customHeight="1">
      <c r="A7" s="42" t="s">
        <v>43</v>
      </c>
      <c r="B7" s="95">
        <v>1200</v>
      </c>
      <c r="C7" s="240">
        <f>'І. Інф. до звіт.'!C97</f>
        <v>1886.2000000000048</v>
      </c>
      <c r="D7" s="240">
        <f>'І. Інф. до звіт.'!D97</f>
        <v>2110.4999999999977</v>
      </c>
      <c r="E7" s="240">
        <f>'І. Інф. до звіт.'!E97</f>
        <v>204</v>
      </c>
      <c r="F7" s="240">
        <f>'І. Інф. до звіт.'!F97</f>
        <v>2110.4999999999977</v>
      </c>
      <c r="G7" s="93">
        <f>F7-E7</f>
        <v>1906.4999999999977</v>
      </c>
      <c r="H7" s="94">
        <f>(F7/E7)*100</f>
        <v>1034.5588235294108</v>
      </c>
    </row>
    <row r="8" spans="1:8" ht="33.75" customHeight="1">
      <c r="A8" s="42" t="s">
        <v>258</v>
      </c>
      <c r="B8" s="213">
        <v>2000</v>
      </c>
      <c r="C8" s="56">
        <v>734</v>
      </c>
      <c r="D8" s="56">
        <v>2620.3000000000002</v>
      </c>
      <c r="E8" s="56"/>
      <c r="F8" s="261">
        <v>2620</v>
      </c>
      <c r="G8" s="93">
        <f>F8-E8</f>
        <v>2620</v>
      </c>
      <c r="H8" s="94" t="e">
        <f>(F8/E8)*100</f>
        <v>#DIV/0!</v>
      </c>
    </row>
    <row r="9" spans="1:8" ht="27" customHeight="1">
      <c r="A9" s="27" t="s">
        <v>259</v>
      </c>
      <c r="B9" s="209">
        <v>2005</v>
      </c>
      <c r="C9" s="51" t="s">
        <v>184</v>
      </c>
      <c r="D9" s="51" t="s">
        <v>184</v>
      </c>
      <c r="E9" s="51" t="s">
        <v>184</v>
      </c>
      <c r="F9" s="51" t="s">
        <v>184</v>
      </c>
      <c r="G9" s="78" t="e">
        <f>F9-E9</f>
        <v>#VALUE!</v>
      </c>
      <c r="H9" s="79" t="e">
        <f>(F9/E9)*100</f>
        <v>#VALUE!</v>
      </c>
    </row>
    <row r="10" spans="1:8" ht="34.5" customHeight="1">
      <c r="A10" s="42" t="s">
        <v>260</v>
      </c>
      <c r="B10" s="213">
        <v>2009</v>
      </c>
      <c r="C10" s="223">
        <f>SUM(C8:C9)</f>
        <v>734</v>
      </c>
      <c r="D10" s="223">
        <f>SUM(D8:D9)</f>
        <v>2620.3000000000002</v>
      </c>
      <c r="E10" s="223">
        <f>SUM(E8:E9)</f>
        <v>0</v>
      </c>
      <c r="F10" s="223">
        <f>SUM(F8:F9)</f>
        <v>2620</v>
      </c>
      <c r="G10" s="93">
        <f>F10-E10</f>
        <v>2620</v>
      </c>
      <c r="H10" s="94" t="e">
        <f>(F10/E10)*100</f>
        <v>#DIV/0!</v>
      </c>
    </row>
    <row r="11" spans="1:8" ht="22.5" customHeight="1">
      <c r="A11" s="27" t="s">
        <v>261</v>
      </c>
      <c r="B11" s="209">
        <v>2010</v>
      </c>
      <c r="C11" s="70">
        <f>SUM(C12:C13)</f>
        <v>0</v>
      </c>
      <c r="D11" s="70">
        <f>SUM(D12:D13)</f>
        <v>0</v>
      </c>
      <c r="E11" s="70">
        <f>SUM(E12:E13)</f>
        <v>0</v>
      </c>
      <c r="F11" s="70">
        <f>SUM(F12:F13)</f>
        <v>0</v>
      </c>
      <c r="G11" s="78">
        <f>F11-E11</f>
        <v>0</v>
      </c>
      <c r="H11" s="79" t="e">
        <f>(F11/E11)*100</f>
        <v>#DIV/0!</v>
      </c>
    </row>
    <row r="12" spans="1:8" ht="22.5" customHeight="1">
      <c r="A12" s="228" t="s">
        <v>262</v>
      </c>
      <c r="B12" s="209">
        <v>2011</v>
      </c>
      <c r="C12" s="51" t="s">
        <v>184</v>
      </c>
      <c r="D12" s="51" t="s">
        <v>184</v>
      </c>
      <c r="E12" s="51" t="s">
        <v>184</v>
      </c>
      <c r="F12" s="51" t="s">
        <v>184</v>
      </c>
      <c r="G12" s="78" t="e">
        <f t="shared" ref="G12:G21" si="0">F12-E12</f>
        <v>#VALUE!</v>
      </c>
      <c r="H12" s="79" t="e">
        <f t="shared" ref="H12:H21" si="1">(F12/E12)*100</f>
        <v>#VALUE!</v>
      </c>
    </row>
    <row r="13" spans="1:8" ht="41.25" customHeight="1">
      <c r="A13" s="228" t="s">
        <v>263</v>
      </c>
      <c r="B13" s="209">
        <v>2012</v>
      </c>
      <c r="C13" s="51" t="s">
        <v>184</v>
      </c>
      <c r="D13" s="51" t="s">
        <v>184</v>
      </c>
      <c r="E13" s="51" t="s">
        <v>184</v>
      </c>
      <c r="F13" s="51" t="s">
        <v>184</v>
      </c>
      <c r="G13" s="78" t="e">
        <f t="shared" si="0"/>
        <v>#VALUE!</v>
      </c>
      <c r="H13" s="79" t="e">
        <f t="shared" si="1"/>
        <v>#VALUE!</v>
      </c>
    </row>
    <row r="14" spans="1:8" ht="20.25" customHeight="1">
      <c r="A14" s="228" t="s">
        <v>264</v>
      </c>
      <c r="B14" s="209" t="s">
        <v>265</v>
      </c>
      <c r="C14" s="51" t="s">
        <v>184</v>
      </c>
      <c r="D14" s="51" t="s">
        <v>184</v>
      </c>
      <c r="E14" s="51" t="s">
        <v>184</v>
      </c>
      <c r="F14" s="51" t="s">
        <v>184</v>
      </c>
      <c r="G14" s="78" t="e">
        <f t="shared" si="0"/>
        <v>#VALUE!</v>
      </c>
      <c r="H14" s="79" t="e">
        <f t="shared" si="1"/>
        <v>#VALUE!</v>
      </c>
    </row>
    <row r="15" spans="1:8" ht="20.25" customHeight="1">
      <c r="A15" s="228" t="s">
        <v>266</v>
      </c>
      <c r="B15" s="209">
        <v>2020</v>
      </c>
      <c r="C15" s="51"/>
      <c r="D15" s="51"/>
      <c r="E15" s="51"/>
      <c r="F15" s="51"/>
      <c r="G15" s="78">
        <f t="shared" si="0"/>
        <v>0</v>
      </c>
      <c r="H15" s="79" t="e">
        <f t="shared" si="1"/>
        <v>#DIV/0!</v>
      </c>
    </row>
    <row r="16" spans="1:8" s="28" customFormat="1" ht="19.5" customHeight="1">
      <c r="A16" s="27" t="s">
        <v>267</v>
      </c>
      <c r="B16" s="209">
        <v>2030</v>
      </c>
      <c r="C16" s="51" t="s">
        <v>184</v>
      </c>
      <c r="D16" s="51" t="s">
        <v>184</v>
      </c>
      <c r="E16" s="51" t="s">
        <v>184</v>
      </c>
      <c r="F16" s="51" t="s">
        <v>184</v>
      </c>
      <c r="G16" s="78" t="e">
        <f t="shared" si="0"/>
        <v>#VALUE!</v>
      </c>
      <c r="H16" s="79" t="e">
        <f t="shared" si="1"/>
        <v>#VALUE!</v>
      </c>
    </row>
    <row r="17" spans="1:9" ht="20.25" customHeight="1">
      <c r="A17" s="27" t="s">
        <v>268</v>
      </c>
      <c r="B17" s="209">
        <v>2031</v>
      </c>
      <c r="C17" s="51" t="s">
        <v>184</v>
      </c>
      <c r="D17" s="51" t="s">
        <v>184</v>
      </c>
      <c r="E17" s="51" t="s">
        <v>184</v>
      </c>
      <c r="F17" s="51" t="s">
        <v>184</v>
      </c>
      <c r="G17" s="78" t="e">
        <f t="shared" si="0"/>
        <v>#VALUE!</v>
      </c>
      <c r="H17" s="79" t="e">
        <f t="shared" si="1"/>
        <v>#VALUE!</v>
      </c>
    </row>
    <row r="18" spans="1:9" ht="19.5" customHeight="1">
      <c r="A18" s="27" t="s">
        <v>269</v>
      </c>
      <c r="B18" s="209">
        <v>2040</v>
      </c>
      <c r="C18" s="51" t="s">
        <v>184</v>
      </c>
      <c r="D18" s="51" t="s">
        <v>184</v>
      </c>
      <c r="E18" s="51" t="s">
        <v>184</v>
      </c>
      <c r="F18" s="51" t="s">
        <v>184</v>
      </c>
      <c r="G18" s="78" t="e">
        <f t="shared" si="0"/>
        <v>#VALUE!</v>
      </c>
      <c r="H18" s="79" t="e">
        <f t="shared" si="1"/>
        <v>#VALUE!</v>
      </c>
    </row>
    <row r="19" spans="1:9" ht="18.75" customHeight="1">
      <c r="A19" s="27" t="s">
        <v>270</v>
      </c>
      <c r="B19" s="209">
        <v>2050</v>
      </c>
      <c r="C19" s="51" t="s">
        <v>184</v>
      </c>
      <c r="D19" s="51" t="s">
        <v>184</v>
      </c>
      <c r="E19" s="51" t="s">
        <v>184</v>
      </c>
      <c r="F19" s="51" t="s">
        <v>184</v>
      </c>
      <c r="G19" s="78" t="e">
        <f t="shared" si="0"/>
        <v>#VALUE!</v>
      </c>
      <c r="H19" s="79" t="e">
        <f t="shared" si="1"/>
        <v>#VALUE!</v>
      </c>
    </row>
    <row r="20" spans="1:9" ht="19.5" customHeight="1">
      <c r="A20" s="27" t="s">
        <v>271</v>
      </c>
      <c r="B20" s="209">
        <v>2060</v>
      </c>
      <c r="C20" s="51" t="s">
        <v>184</v>
      </c>
      <c r="D20" s="51" t="s">
        <v>184</v>
      </c>
      <c r="E20" s="51" t="s">
        <v>184</v>
      </c>
      <c r="F20" s="51" t="s">
        <v>184</v>
      </c>
      <c r="G20" s="78" t="e">
        <f t="shared" si="0"/>
        <v>#VALUE!</v>
      </c>
      <c r="H20" s="79" t="e">
        <f t="shared" si="1"/>
        <v>#VALUE!</v>
      </c>
    </row>
    <row r="21" spans="1:9" ht="41.25" customHeight="1">
      <c r="A21" s="42" t="s">
        <v>272</v>
      </c>
      <c r="B21" s="213">
        <v>2070</v>
      </c>
      <c r="C21" s="223">
        <f>SUM(C7,C10:C11,C15:C16,C18:C20)</f>
        <v>2620.2000000000048</v>
      </c>
      <c r="D21" s="223">
        <f>SUM(D7,D10:D11,D15:D16,D18:D20)</f>
        <v>4730.7999999999975</v>
      </c>
      <c r="E21" s="223">
        <f>SUM(E7,E10:E11,E15:E16,E18:E20)</f>
        <v>204</v>
      </c>
      <c r="F21" s="223">
        <f>SUM(F7,F10:F11,F15:F16,F18:F20)</f>
        <v>4730.4999999999982</v>
      </c>
      <c r="G21" s="93">
        <f t="shared" si="0"/>
        <v>4526.4999999999982</v>
      </c>
      <c r="H21" s="94">
        <f t="shared" si="1"/>
        <v>2318.872549019607</v>
      </c>
    </row>
    <row r="22" spans="1:9" ht="22.5" customHeight="1">
      <c r="A22" s="332" t="s">
        <v>273</v>
      </c>
      <c r="B22" s="333"/>
      <c r="C22" s="333"/>
      <c r="D22" s="333"/>
      <c r="E22" s="333"/>
      <c r="F22" s="333"/>
      <c r="G22" s="333"/>
      <c r="H22" s="334"/>
    </row>
    <row r="23" spans="1:9" s="28" customFormat="1" ht="40.5" customHeight="1">
      <c r="A23" s="42" t="s">
        <v>274</v>
      </c>
      <c r="B23" s="213">
        <v>2110</v>
      </c>
      <c r="C23" s="238">
        <f>SUM(C24:C31)</f>
        <v>974.1</v>
      </c>
      <c r="D23" s="223">
        <f>SUM(D24:D31)</f>
        <v>1148.9000000000001</v>
      </c>
      <c r="E23" s="223">
        <f>SUM(E24:E31)</f>
        <v>1189</v>
      </c>
      <c r="F23" s="223">
        <f>SUM(F24:F31)</f>
        <v>1148.9000000000001</v>
      </c>
      <c r="G23" s="56">
        <f>F23-E23</f>
        <v>-40.099999999999909</v>
      </c>
      <c r="H23" s="71">
        <f>(F23/E23)*100</f>
        <v>96.627417998317924</v>
      </c>
    </row>
    <row r="24" spans="1:9" ht="19.5" customHeight="1">
      <c r="A24" s="228" t="s">
        <v>45</v>
      </c>
      <c r="B24" s="209">
        <v>2111</v>
      </c>
      <c r="C24" s="51"/>
      <c r="D24" s="51"/>
      <c r="E24" s="51"/>
      <c r="F24" s="51"/>
      <c r="G24" s="51">
        <f t="shared" ref="G24:G46" si="2">F24-E24</f>
        <v>0</v>
      </c>
      <c r="H24" s="69" t="e">
        <f t="shared" ref="H24:H46" si="3">(F24/E24)*100</f>
        <v>#DIV/0!</v>
      </c>
    </row>
    <row r="25" spans="1:9" ht="19.5" customHeight="1">
      <c r="A25" s="228" t="s">
        <v>275</v>
      </c>
      <c r="B25" s="209">
        <v>2112</v>
      </c>
      <c r="C25" s="51"/>
      <c r="D25" s="256">
        <f>1.8+3.3+2.3+2</f>
        <v>9.3999999999999986</v>
      </c>
      <c r="E25" s="256"/>
      <c r="F25" s="256">
        <f>1.8+3.3+2.3+2</f>
        <v>9.3999999999999986</v>
      </c>
      <c r="G25" s="51">
        <f t="shared" si="2"/>
        <v>9.3999999999999986</v>
      </c>
      <c r="H25" s="69" t="e">
        <f t="shared" si="3"/>
        <v>#DIV/0!</v>
      </c>
    </row>
    <row r="26" spans="1:9" s="28" customFormat="1" ht="19.5" customHeight="1">
      <c r="A26" s="27" t="s">
        <v>276</v>
      </c>
      <c r="B26" s="209">
        <v>2113</v>
      </c>
      <c r="C26" s="51" t="s">
        <v>184</v>
      </c>
      <c r="D26" s="256" t="s">
        <v>184</v>
      </c>
      <c r="E26" s="256" t="s">
        <v>184</v>
      </c>
      <c r="F26" s="256" t="s">
        <v>184</v>
      </c>
      <c r="G26" s="51" t="e">
        <f t="shared" si="2"/>
        <v>#VALUE!</v>
      </c>
      <c r="H26" s="69" t="e">
        <f t="shared" si="3"/>
        <v>#VALUE!</v>
      </c>
    </row>
    <row r="27" spans="1:9" ht="19.5" customHeight="1">
      <c r="A27" s="27" t="s">
        <v>277</v>
      </c>
      <c r="B27" s="209">
        <v>2114</v>
      </c>
      <c r="C27" s="51"/>
      <c r="D27" s="256"/>
      <c r="E27" s="256"/>
      <c r="F27" s="256"/>
      <c r="G27" s="51">
        <f t="shared" si="2"/>
        <v>0</v>
      </c>
      <c r="H27" s="69" t="e">
        <f t="shared" si="3"/>
        <v>#DIV/0!</v>
      </c>
    </row>
    <row r="28" spans="1:9" s="30" customFormat="1" ht="20.25" customHeight="1">
      <c r="A28" s="27" t="s">
        <v>278</v>
      </c>
      <c r="B28" s="209">
        <v>2115</v>
      </c>
      <c r="C28" s="51"/>
      <c r="D28" s="256"/>
      <c r="E28" s="256"/>
      <c r="F28" s="256"/>
      <c r="G28" s="51">
        <f t="shared" si="2"/>
        <v>0</v>
      </c>
      <c r="H28" s="69" t="e">
        <f t="shared" si="3"/>
        <v>#DIV/0!</v>
      </c>
      <c r="I28" s="26"/>
    </row>
    <row r="29" spans="1:9" ht="20.25" customHeight="1">
      <c r="A29" s="27" t="s">
        <v>279</v>
      </c>
      <c r="B29" s="209">
        <v>2116</v>
      </c>
      <c r="C29" s="51"/>
      <c r="D29" s="256"/>
      <c r="E29" s="256"/>
      <c r="F29" s="256"/>
      <c r="G29" s="51">
        <f t="shared" si="2"/>
        <v>0</v>
      </c>
      <c r="H29" s="69" t="e">
        <f t="shared" si="3"/>
        <v>#DIV/0!</v>
      </c>
    </row>
    <row r="30" spans="1:9" ht="20.25" customHeight="1">
      <c r="A30" s="27" t="s">
        <v>280</v>
      </c>
      <c r="B30" s="209">
        <v>2117</v>
      </c>
      <c r="C30" s="51">
        <v>974.1</v>
      </c>
      <c r="D30" s="256">
        <f>240.5+279+306+314</f>
        <v>1139.5</v>
      </c>
      <c r="E30" s="256">
        <v>1189</v>
      </c>
      <c r="F30" s="256">
        <f>240.5+279+306+314</f>
        <v>1139.5</v>
      </c>
      <c r="G30" s="51">
        <f t="shared" si="2"/>
        <v>-49.5</v>
      </c>
      <c r="H30" s="69">
        <f t="shared" si="3"/>
        <v>95.836837678721622</v>
      </c>
    </row>
    <row r="31" spans="1:9" ht="20.25" customHeight="1">
      <c r="A31" s="27" t="s">
        <v>281</v>
      </c>
      <c r="B31" s="209">
        <v>2118</v>
      </c>
      <c r="C31" s="51"/>
      <c r="D31" s="51"/>
      <c r="E31" s="51"/>
      <c r="F31" s="51"/>
      <c r="G31" s="51">
        <f t="shared" si="2"/>
        <v>0</v>
      </c>
      <c r="H31" s="69" t="e">
        <f t="shared" si="3"/>
        <v>#DIV/0!</v>
      </c>
    </row>
    <row r="32" spans="1:9" s="28" customFormat="1" ht="39" customHeight="1">
      <c r="A32" s="42" t="s">
        <v>282</v>
      </c>
      <c r="B32" s="33">
        <v>2120</v>
      </c>
      <c r="C32" s="223">
        <f>SUM(C33:C36)</f>
        <v>1735.1</v>
      </c>
      <c r="D32" s="223">
        <f>SUM(D33:D36)</f>
        <v>2030.8</v>
      </c>
      <c r="E32" s="223">
        <f>SUM(E33:E36)</f>
        <v>2118</v>
      </c>
      <c r="F32" s="223">
        <f>SUM(F33:F36)</f>
        <v>2030.8</v>
      </c>
      <c r="G32" s="56">
        <f t="shared" si="2"/>
        <v>-87.200000000000045</v>
      </c>
      <c r="H32" s="71">
        <f t="shared" si="3"/>
        <v>95.882908404154861</v>
      </c>
    </row>
    <row r="33" spans="1:8" ht="20.25" customHeight="1">
      <c r="A33" s="27" t="s">
        <v>280</v>
      </c>
      <c r="B33" s="218">
        <v>2121</v>
      </c>
      <c r="C33" s="51">
        <v>1731.8</v>
      </c>
      <c r="D33" s="256">
        <f>427.7+496+544.4+559</f>
        <v>2027.1</v>
      </c>
      <c r="E33" s="256">
        <v>2114</v>
      </c>
      <c r="F33" s="256">
        <f>427.7+496+544.4+559</f>
        <v>2027.1</v>
      </c>
      <c r="G33" s="51">
        <f>F33-E33</f>
        <v>-86.900000000000091</v>
      </c>
      <c r="H33" s="69">
        <f>(F33/E33)*100</f>
        <v>95.889309366130547</v>
      </c>
    </row>
    <row r="34" spans="1:8" ht="20.25" customHeight="1">
      <c r="A34" s="27" t="s">
        <v>283</v>
      </c>
      <c r="B34" s="218">
        <v>2122</v>
      </c>
      <c r="C34" s="51">
        <v>3.3</v>
      </c>
      <c r="D34" s="256">
        <f>3.7</f>
        <v>3.7</v>
      </c>
      <c r="E34" s="256">
        <v>4</v>
      </c>
      <c r="F34" s="256">
        <f>3.7</f>
        <v>3.7</v>
      </c>
      <c r="G34" s="51">
        <f>F34-E34</f>
        <v>-0.29999999999999982</v>
      </c>
      <c r="H34" s="69">
        <f>(F34/E34)*100</f>
        <v>92.5</v>
      </c>
    </row>
    <row r="35" spans="1:8" ht="20.25" customHeight="1">
      <c r="A35" s="27" t="s">
        <v>284</v>
      </c>
      <c r="B35" s="218">
        <v>2123</v>
      </c>
      <c r="C35" s="51"/>
      <c r="D35" s="51"/>
      <c r="E35" s="51"/>
      <c r="F35" s="51"/>
      <c r="G35" s="51">
        <f>F35-E35</f>
        <v>0</v>
      </c>
      <c r="H35" s="69" t="e">
        <f>(F35/E35)*100</f>
        <v>#DIV/0!</v>
      </c>
    </row>
    <row r="36" spans="1:8" s="28" customFormat="1" ht="20.25" customHeight="1">
      <c r="A36" s="27" t="s">
        <v>281</v>
      </c>
      <c r="B36" s="218">
        <v>2124</v>
      </c>
      <c r="C36" s="51"/>
      <c r="D36" s="51"/>
      <c r="E36" s="51"/>
      <c r="F36" s="51"/>
      <c r="G36" s="51">
        <f t="shared" si="2"/>
        <v>0</v>
      </c>
      <c r="H36" s="69" t="e">
        <f t="shared" si="3"/>
        <v>#DIV/0!</v>
      </c>
    </row>
    <row r="37" spans="1:8" s="28" customFormat="1" ht="24.75" customHeight="1">
      <c r="A37" s="42" t="s">
        <v>285</v>
      </c>
      <c r="B37" s="33">
        <v>2130</v>
      </c>
      <c r="C37" s="223">
        <f>SUM(C38:C42)</f>
        <v>3298.5</v>
      </c>
      <c r="D37" s="223">
        <f>SUM(D38:D42)</f>
        <v>4369.6000000000004</v>
      </c>
      <c r="E37" s="223">
        <f>SUM(E38:E42)</f>
        <v>4955</v>
      </c>
      <c r="F37" s="223">
        <f>SUM(F38:F42)</f>
        <v>4369.6000000000004</v>
      </c>
      <c r="G37" s="56">
        <f t="shared" si="2"/>
        <v>-585.39999999999964</v>
      </c>
      <c r="H37" s="71">
        <f t="shared" si="3"/>
        <v>88.18567103935419</v>
      </c>
    </row>
    <row r="38" spans="1:8" ht="35.25" customHeight="1">
      <c r="A38" s="27" t="s">
        <v>48</v>
      </c>
      <c r="B38" s="218">
        <v>2131</v>
      </c>
      <c r="C38" s="51"/>
      <c r="D38" s="51"/>
      <c r="E38" s="51"/>
      <c r="F38" s="51"/>
      <c r="G38" s="51">
        <f>F38-E38</f>
        <v>0</v>
      </c>
      <c r="H38" s="69" t="e">
        <f>(F38/E38)*100</f>
        <v>#DIV/0!</v>
      </c>
    </row>
    <row r="39" spans="1:8" ht="57.75" customHeight="1">
      <c r="A39" s="27" t="s">
        <v>49</v>
      </c>
      <c r="B39" s="218">
        <v>2132</v>
      </c>
      <c r="C39" s="51"/>
      <c r="D39" s="51"/>
      <c r="E39" s="51"/>
      <c r="F39" s="51"/>
      <c r="G39" s="51">
        <f t="shared" si="2"/>
        <v>0</v>
      </c>
      <c r="H39" s="69" t="e">
        <f t="shared" si="3"/>
        <v>#DIV/0!</v>
      </c>
    </row>
    <row r="40" spans="1:8" s="28" customFormat="1" ht="19.5" customHeight="1">
      <c r="A40" s="27" t="s">
        <v>286</v>
      </c>
      <c r="B40" s="218">
        <v>2133</v>
      </c>
      <c r="C40" s="51"/>
      <c r="D40" s="51"/>
      <c r="E40" s="51"/>
      <c r="F40" s="51"/>
      <c r="G40" s="51">
        <f t="shared" si="2"/>
        <v>0</v>
      </c>
      <c r="H40" s="69" t="e">
        <f t="shared" si="3"/>
        <v>#DIV/0!</v>
      </c>
    </row>
    <row r="41" spans="1:8" ht="19.5" customHeight="1">
      <c r="A41" s="27" t="s">
        <v>287</v>
      </c>
      <c r="B41" s="218">
        <v>2134</v>
      </c>
      <c r="C41" s="51">
        <v>3009.1</v>
      </c>
      <c r="D41" s="256">
        <f>748+840+945+963</f>
        <v>3496</v>
      </c>
      <c r="E41" s="256">
        <v>4037</v>
      </c>
      <c r="F41" s="256">
        <f>748+840+945+963</f>
        <v>3496</v>
      </c>
      <c r="G41" s="51">
        <f t="shared" si="2"/>
        <v>-541</v>
      </c>
      <c r="H41" s="69">
        <f t="shared" si="3"/>
        <v>86.598959623482784</v>
      </c>
    </row>
    <row r="42" spans="1:8" ht="19.5" customHeight="1">
      <c r="A42" s="27" t="s">
        <v>430</v>
      </c>
      <c r="B42" s="218">
        <v>2135</v>
      </c>
      <c r="C42" s="51">
        <v>289.39999999999998</v>
      </c>
      <c r="D42" s="256">
        <f>185.6+215.7+236.3+236</f>
        <v>873.59999999999991</v>
      </c>
      <c r="E42" s="256">
        <v>918</v>
      </c>
      <c r="F42" s="256">
        <f>185.6+215.7+236.3+236</f>
        <v>873.59999999999991</v>
      </c>
      <c r="G42" s="51">
        <f t="shared" si="2"/>
        <v>-44.400000000000091</v>
      </c>
      <c r="H42" s="69">
        <f t="shared" si="3"/>
        <v>95.163398692810446</v>
      </c>
    </row>
    <row r="43" spans="1:8" s="28" customFormat="1" ht="19.5" customHeight="1">
      <c r="A43" s="42" t="s">
        <v>288</v>
      </c>
      <c r="B43" s="33">
        <v>2140</v>
      </c>
      <c r="C43" s="223">
        <f>SUM(C44:C45)</f>
        <v>0</v>
      </c>
      <c r="D43" s="223">
        <f>SUM(D44:D45)</f>
        <v>0</v>
      </c>
      <c r="E43" s="223">
        <f>SUM(E44:E45)</f>
        <v>0</v>
      </c>
      <c r="F43" s="223">
        <f>SUM(F44:F45)</f>
        <v>0</v>
      </c>
      <c r="G43" s="56">
        <f t="shared" si="2"/>
        <v>0</v>
      </c>
      <c r="H43" s="71" t="e">
        <f t="shared" si="3"/>
        <v>#DIV/0!</v>
      </c>
    </row>
    <row r="44" spans="1:8" ht="40.5" customHeight="1">
      <c r="A44" s="27" t="s">
        <v>289</v>
      </c>
      <c r="B44" s="218">
        <v>2141</v>
      </c>
      <c r="C44" s="51"/>
      <c r="D44" s="51"/>
      <c r="E44" s="51"/>
      <c r="F44" s="51"/>
      <c r="G44" s="51">
        <f t="shared" si="2"/>
        <v>0</v>
      </c>
      <c r="H44" s="69" t="e">
        <f t="shared" si="3"/>
        <v>#DIV/0!</v>
      </c>
    </row>
    <row r="45" spans="1:8" s="28" customFormat="1" ht="20.25" customHeight="1">
      <c r="A45" s="27" t="s">
        <v>290</v>
      </c>
      <c r="B45" s="218">
        <v>2142</v>
      </c>
      <c r="C45" s="51"/>
      <c r="D45" s="51"/>
      <c r="E45" s="51"/>
      <c r="F45" s="51"/>
      <c r="G45" s="51">
        <f t="shared" si="2"/>
        <v>0</v>
      </c>
      <c r="H45" s="69" t="e">
        <f t="shared" si="3"/>
        <v>#DIV/0!</v>
      </c>
    </row>
    <row r="46" spans="1:8" s="28" customFormat="1" ht="22.5" customHeight="1">
      <c r="A46" s="42" t="s">
        <v>50</v>
      </c>
      <c r="B46" s="33">
        <v>2200</v>
      </c>
      <c r="C46" s="223">
        <f>SUM(C23,C32,C37,C43)</f>
        <v>6007.7</v>
      </c>
      <c r="D46" s="223">
        <f>SUM(D23,D32,D37,D43)</f>
        <v>7549.3</v>
      </c>
      <c r="E46" s="223">
        <f>SUM(E23,E32,E37,E43)</f>
        <v>8262</v>
      </c>
      <c r="F46" s="223">
        <f>SUM(F23,F32,F37,F43)</f>
        <v>7549.3</v>
      </c>
      <c r="G46" s="56">
        <f t="shared" si="2"/>
        <v>-712.69999999999982</v>
      </c>
      <c r="H46" s="71">
        <f t="shared" si="3"/>
        <v>91.373759380295326</v>
      </c>
    </row>
    <row r="47" spans="1:8" s="28" customFormat="1">
      <c r="A47" s="39"/>
      <c r="B47" s="29"/>
      <c r="C47" s="29"/>
      <c r="D47" s="29"/>
      <c r="E47" s="29"/>
      <c r="F47" s="29"/>
      <c r="G47" s="29"/>
      <c r="H47" s="29"/>
    </row>
    <row r="48" spans="1:8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234" t="s">
        <v>412</v>
      </c>
      <c r="B49" s="1"/>
      <c r="C49" s="320" t="s">
        <v>254</v>
      </c>
      <c r="D49" s="320"/>
      <c r="E49" s="44"/>
      <c r="F49" s="229"/>
      <c r="G49" s="229"/>
      <c r="H49" s="229"/>
      <c r="I49" s="229"/>
      <c r="J49" s="229"/>
    </row>
    <row r="50" spans="1:10" s="2" customFormat="1">
      <c r="A50" s="214"/>
      <c r="B50" s="229"/>
      <c r="C50" s="319" t="s">
        <v>291</v>
      </c>
      <c r="D50" s="319"/>
      <c r="E50" s="229"/>
      <c r="F50" s="288" t="s">
        <v>413</v>
      </c>
      <c r="G50" s="288"/>
      <c r="H50" s="288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1">
    <mergeCell ref="C50:D50"/>
    <mergeCell ref="A6:H6"/>
    <mergeCell ref="A22:H22"/>
    <mergeCell ref="C49:D49"/>
    <mergeCell ref="F50:H50"/>
    <mergeCell ref="A1:H1"/>
    <mergeCell ref="A2:H2"/>
    <mergeCell ref="A3:A4"/>
    <mergeCell ref="B3:B4"/>
    <mergeCell ref="C3:D3"/>
    <mergeCell ref="E3:H3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87"/>
  <sheetViews>
    <sheetView topLeftCell="A31" zoomScale="60" zoomScaleNormal="60" zoomScaleSheetLayoutView="75" workbookViewId="0">
      <selection activeCell="A12" sqref="A12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9" width="11.28515625" style="2" bestFit="1" customWidth="1"/>
    <col min="10" max="10" width="9.140625" style="2"/>
    <col min="11" max="11" width="21.7109375" style="2" customWidth="1"/>
    <col min="12" max="16384" width="9.140625" style="2"/>
  </cols>
  <sheetData>
    <row r="1" spans="1:11">
      <c r="A1" s="274" t="s">
        <v>292</v>
      </c>
      <c r="B1" s="274"/>
      <c r="C1" s="274"/>
      <c r="D1" s="274"/>
      <c r="E1" s="274"/>
      <c r="F1" s="274"/>
      <c r="G1" s="274"/>
      <c r="H1" s="274"/>
    </row>
    <row r="2" spans="1:11">
      <c r="A2" s="14"/>
      <c r="B2" s="14"/>
      <c r="C2" s="14"/>
      <c r="D2" s="14"/>
      <c r="E2" s="14"/>
      <c r="F2" s="14"/>
      <c r="G2" s="14"/>
      <c r="H2" s="14"/>
    </row>
    <row r="3" spans="1:11" ht="48" customHeight="1">
      <c r="A3" s="276" t="s">
        <v>28</v>
      </c>
      <c r="B3" s="335" t="s">
        <v>293</v>
      </c>
      <c r="C3" s="276" t="s">
        <v>294</v>
      </c>
      <c r="D3" s="276"/>
      <c r="E3" s="330" t="s">
        <v>31</v>
      </c>
      <c r="F3" s="330"/>
      <c r="G3" s="330"/>
      <c r="H3" s="330"/>
    </row>
    <row r="4" spans="1:11" ht="38.25" customHeight="1">
      <c r="A4" s="276"/>
      <c r="B4" s="335"/>
      <c r="C4" s="253" t="s">
        <v>32</v>
      </c>
      <c r="D4" s="253" t="s">
        <v>33</v>
      </c>
      <c r="E4" s="253" t="s">
        <v>34</v>
      </c>
      <c r="F4" s="205" t="s">
        <v>35</v>
      </c>
      <c r="G4" s="226" t="s">
        <v>36</v>
      </c>
      <c r="H4" s="226" t="s">
        <v>37</v>
      </c>
    </row>
    <row r="5" spans="1:11">
      <c r="A5" s="226">
        <v>1</v>
      </c>
      <c r="B5" s="231">
        <v>2</v>
      </c>
      <c r="C5" s="226">
        <v>3</v>
      </c>
      <c r="D5" s="231">
        <v>4</v>
      </c>
      <c r="E5" s="226">
        <v>5</v>
      </c>
      <c r="F5" s="231">
        <v>6</v>
      </c>
      <c r="G5" s="226">
        <v>7</v>
      </c>
      <c r="H5" s="231">
        <v>8</v>
      </c>
    </row>
    <row r="6" spans="1:11">
      <c r="A6" s="144" t="s">
        <v>295</v>
      </c>
      <c r="B6" s="220"/>
      <c r="C6" s="220"/>
      <c r="D6" s="220"/>
      <c r="E6" s="220"/>
      <c r="F6" s="220"/>
      <c r="G6" s="220"/>
      <c r="H6" s="221"/>
      <c r="K6" s="241"/>
    </row>
    <row r="7" spans="1:11" s="34" customFormat="1" ht="24.95" customHeight="1">
      <c r="A7" s="67" t="s">
        <v>296</v>
      </c>
      <c r="B7" s="64">
        <v>3000</v>
      </c>
      <c r="C7" s="223">
        <f>SUM(C8:C9,C11,C14:C15,C19)</f>
        <v>24655.200000000001</v>
      </c>
      <c r="D7" s="223">
        <f>SUM(D8:D9,D11,D14:D15,D19)</f>
        <v>27510.6</v>
      </c>
      <c r="E7" s="223">
        <f>SUM(E8:E9,E11,E14:E15,E19)</f>
        <v>25153</v>
      </c>
      <c r="F7" s="223">
        <f>SUM(F8:F9,F11,F14:F15,F19)</f>
        <v>27510.6</v>
      </c>
      <c r="G7" s="56">
        <f>F7-E7</f>
        <v>2357.5999999999985</v>
      </c>
      <c r="H7" s="71">
        <f>(F7/E7)*100</f>
        <v>109.37303701347751</v>
      </c>
    </row>
    <row r="8" spans="1:11" ht="18" customHeight="1">
      <c r="A8" s="228" t="s">
        <v>296</v>
      </c>
      <c r="B8" s="6">
        <v>3010</v>
      </c>
      <c r="C8" s="51">
        <v>22154.7</v>
      </c>
      <c r="D8" s="51">
        <v>25878</v>
      </c>
      <c r="E8" s="51">
        <v>22633</v>
      </c>
      <c r="F8" s="51">
        <v>25878</v>
      </c>
      <c r="G8" s="51">
        <f>F8-E8</f>
        <v>3245</v>
      </c>
      <c r="H8" s="69">
        <f>(F8/E8)*100</f>
        <v>114.33747183316396</v>
      </c>
    </row>
    <row r="9" spans="1:11" ht="18" customHeight="1">
      <c r="A9" s="228" t="s">
        <v>297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9" t="e">
        <f t="shared" ref="H9:H19" si="1">(F9/E9)*100</f>
        <v>#DIV/0!</v>
      </c>
    </row>
    <row r="10" spans="1:11" ht="18" customHeight="1">
      <c r="A10" s="228" t="s">
        <v>298</v>
      </c>
      <c r="B10" s="6">
        <v>3030</v>
      </c>
      <c r="C10" s="51"/>
      <c r="D10" s="51"/>
      <c r="E10" s="51"/>
      <c r="F10" s="51"/>
      <c r="G10" s="51">
        <f t="shared" si="0"/>
        <v>0</v>
      </c>
      <c r="H10" s="69" t="e">
        <f t="shared" si="1"/>
        <v>#DIV/0!</v>
      </c>
    </row>
    <row r="11" spans="1:11" ht="18" customHeight="1">
      <c r="A11" s="228" t="s">
        <v>299</v>
      </c>
      <c r="B11" s="6">
        <v>3040</v>
      </c>
      <c r="C11" s="51">
        <v>2238.5</v>
      </c>
      <c r="D11" s="256">
        <v>1322</v>
      </c>
      <c r="E11" s="256">
        <v>2320</v>
      </c>
      <c r="F11" s="256">
        <v>1322</v>
      </c>
      <c r="G11" s="51">
        <f t="shared" si="0"/>
        <v>-998</v>
      </c>
      <c r="H11" s="69">
        <f t="shared" si="1"/>
        <v>56.982758620689658</v>
      </c>
    </row>
    <row r="12" spans="1:11" ht="18" customHeight="1">
      <c r="A12" s="228" t="s">
        <v>445</v>
      </c>
      <c r="B12" s="6">
        <v>3041</v>
      </c>
      <c r="C12" s="51">
        <v>2238.5</v>
      </c>
      <c r="D12" s="256">
        <v>1322</v>
      </c>
      <c r="E12" s="256">
        <v>2320</v>
      </c>
      <c r="F12" s="256">
        <v>1322</v>
      </c>
      <c r="G12" s="51">
        <f>F12-E12</f>
        <v>-998</v>
      </c>
      <c r="H12" s="69">
        <f>(F12/E12)*100</f>
        <v>56.982758620689658</v>
      </c>
    </row>
    <row r="13" spans="1:11" ht="18" customHeight="1">
      <c r="A13" s="228" t="s">
        <v>300</v>
      </c>
      <c r="B13" s="6">
        <v>3042</v>
      </c>
      <c r="C13" s="51"/>
      <c r="D13" s="51"/>
      <c r="E13" s="51"/>
      <c r="F13" s="51"/>
      <c r="G13" s="51">
        <f>F13-E13</f>
        <v>0</v>
      </c>
      <c r="H13" s="69" t="e">
        <f>(F13/E13)*100</f>
        <v>#DIV/0!</v>
      </c>
    </row>
    <row r="14" spans="1:11" ht="18" customHeight="1">
      <c r="A14" s="228" t="s">
        <v>301</v>
      </c>
      <c r="B14" s="6">
        <v>3050</v>
      </c>
      <c r="C14" s="51"/>
      <c r="D14" s="51"/>
      <c r="E14" s="51"/>
      <c r="F14" s="51"/>
      <c r="G14" s="51">
        <f t="shared" si="0"/>
        <v>0</v>
      </c>
      <c r="H14" s="69" t="e">
        <f t="shared" si="1"/>
        <v>#DIV/0!</v>
      </c>
    </row>
    <row r="15" spans="1:11" ht="20.100000000000001" customHeight="1">
      <c r="A15" s="228" t="s">
        <v>302</v>
      </c>
      <c r="B15" s="6">
        <v>3060</v>
      </c>
      <c r="C15" s="70">
        <f>SUM(C16:C18)</f>
        <v>0</v>
      </c>
      <c r="D15" s="70">
        <f>SUM(D16:D18)</f>
        <v>0</v>
      </c>
      <c r="E15" s="70">
        <f>SUM(E16:E18)</f>
        <v>0</v>
      </c>
      <c r="F15" s="70">
        <f>SUM(F16:F18)</f>
        <v>0</v>
      </c>
      <c r="G15" s="51">
        <f t="shared" si="0"/>
        <v>0</v>
      </c>
      <c r="H15" s="69" t="e">
        <f t="shared" si="1"/>
        <v>#DIV/0!</v>
      </c>
    </row>
    <row r="16" spans="1:11" ht="18" customHeight="1">
      <c r="A16" s="228" t="s">
        <v>303</v>
      </c>
      <c r="B16" s="209">
        <v>3061</v>
      </c>
      <c r="C16" s="51"/>
      <c r="D16" s="51"/>
      <c r="E16" s="51"/>
      <c r="F16" s="51"/>
      <c r="G16" s="51">
        <f t="shared" si="0"/>
        <v>0</v>
      </c>
      <c r="H16" s="69" t="e">
        <f t="shared" si="1"/>
        <v>#DIV/0!</v>
      </c>
    </row>
    <row r="17" spans="1:11" ht="18" customHeight="1">
      <c r="A17" s="228" t="s">
        <v>304</v>
      </c>
      <c r="B17" s="209">
        <v>3062</v>
      </c>
      <c r="C17" s="51"/>
      <c r="D17" s="51"/>
      <c r="E17" s="51"/>
      <c r="F17" s="51"/>
      <c r="G17" s="51">
        <f t="shared" si="0"/>
        <v>0</v>
      </c>
      <c r="H17" s="69" t="e">
        <f t="shared" si="1"/>
        <v>#DIV/0!</v>
      </c>
    </row>
    <row r="18" spans="1:11" ht="18" customHeight="1">
      <c r="A18" s="228" t="s">
        <v>305</v>
      </c>
      <c r="B18" s="209">
        <v>3063</v>
      </c>
      <c r="C18" s="51"/>
      <c r="D18" s="51"/>
      <c r="E18" s="51"/>
      <c r="F18" s="51"/>
      <c r="G18" s="51">
        <f t="shared" si="0"/>
        <v>0</v>
      </c>
      <c r="H18" s="69" t="e">
        <f t="shared" si="1"/>
        <v>#DIV/0!</v>
      </c>
    </row>
    <row r="19" spans="1:11" ht="18" customHeight="1">
      <c r="A19" s="228" t="s">
        <v>414</v>
      </c>
      <c r="B19" s="6">
        <v>3070</v>
      </c>
      <c r="C19" s="51">
        <v>262</v>
      </c>
      <c r="D19" s="51">
        <f>73.8+47.8+52+137</f>
        <v>310.60000000000002</v>
      </c>
      <c r="E19" s="51">
        <v>200</v>
      </c>
      <c r="F19" s="51">
        <f>73.8+47.8+52+137</f>
        <v>310.60000000000002</v>
      </c>
      <c r="G19" s="51">
        <f t="shared" si="0"/>
        <v>110.60000000000002</v>
      </c>
      <c r="H19" s="69">
        <f t="shared" si="1"/>
        <v>155.30000000000001</v>
      </c>
    </row>
    <row r="20" spans="1:11" ht="20.100000000000001" customHeight="1">
      <c r="A20" s="211" t="s">
        <v>307</v>
      </c>
      <c r="B20" s="7">
        <v>3100</v>
      </c>
      <c r="C20" s="223">
        <f>SUM(C21:C24,C28,C38,C39)</f>
        <v>-24284.100000000002</v>
      </c>
      <c r="D20" s="223">
        <f>SUM(D21:D24,D28,D38,D39)</f>
        <v>-25278.799999999999</v>
      </c>
      <c r="E20" s="223">
        <f>SUM(E21:E24,E28,E38,E39)</f>
        <v>-24483</v>
      </c>
      <c r="F20" s="254">
        <f>SUM(F21:F24,F28,F38,F39)</f>
        <v>-25278.799999999999</v>
      </c>
      <c r="G20" s="56">
        <f>F20-E20</f>
        <v>-795.79999999999927</v>
      </c>
      <c r="H20" s="71">
        <f>(F20/E20)*100</f>
        <v>103.25041865784421</v>
      </c>
      <c r="I20" s="241"/>
      <c r="K20" s="241"/>
    </row>
    <row r="21" spans="1:11" ht="18" customHeight="1">
      <c r="A21" s="228" t="s">
        <v>308</v>
      </c>
      <c r="B21" s="6">
        <v>3110</v>
      </c>
      <c r="C21" s="51">
        <v>-5815.6</v>
      </c>
      <c r="D21" s="51">
        <v>-4960</v>
      </c>
      <c r="E21" s="51">
        <v>-1896</v>
      </c>
      <c r="F21" s="51">
        <v>-4960</v>
      </c>
      <c r="G21" s="51">
        <f>F21-E21</f>
        <v>-3064</v>
      </c>
      <c r="H21" s="69">
        <f>(F21/E21)*100</f>
        <v>261.60337552742618</v>
      </c>
    </row>
    <row r="22" spans="1:11" ht="18" customHeight="1">
      <c r="A22" s="228" t="s">
        <v>309</v>
      </c>
      <c r="B22" s="6">
        <v>3120</v>
      </c>
      <c r="C22" s="51">
        <v>-12127.5</v>
      </c>
      <c r="D22" s="51">
        <f>-2179+-3306.8+-3837+-3437</f>
        <v>-12759.8</v>
      </c>
      <c r="E22" s="51">
        <v>-14129</v>
      </c>
      <c r="F22" s="51">
        <f>-2179+-3306.8+-3837+-3437</f>
        <v>-12759.8</v>
      </c>
      <c r="G22" s="51">
        <f t="shared" ref="G22:G39" si="2">F22-E22</f>
        <v>1369.2000000000007</v>
      </c>
      <c r="H22" s="69">
        <f t="shared" ref="H22:H39" si="3">(F22/E22)*100</f>
        <v>90.309292943591188</v>
      </c>
    </row>
    <row r="23" spans="1:11" ht="18" customHeight="1">
      <c r="A23" s="228" t="s">
        <v>186</v>
      </c>
      <c r="B23" s="6">
        <v>3130</v>
      </c>
      <c r="C23" s="51">
        <v>-3002.4</v>
      </c>
      <c r="D23" s="51">
        <f>-590.9+-858.3+-1009+-878</f>
        <v>-3336.2</v>
      </c>
      <c r="E23" s="51">
        <v>-4037</v>
      </c>
      <c r="F23" s="51">
        <f>-590.9+-858.3+-1009+-878</f>
        <v>-3336.2</v>
      </c>
      <c r="G23" s="51">
        <f t="shared" si="2"/>
        <v>700.80000000000018</v>
      </c>
      <c r="H23" s="69">
        <f t="shared" si="3"/>
        <v>82.640574684171412</v>
      </c>
    </row>
    <row r="24" spans="1:11" ht="18" customHeight="1">
      <c r="A24" s="228" t="s">
        <v>310</v>
      </c>
      <c r="B24" s="6">
        <v>3140</v>
      </c>
      <c r="C24" s="70">
        <f>SUM(C25:C27)</f>
        <v>0</v>
      </c>
      <c r="D24" s="70">
        <f>SUM(D25:D27)</f>
        <v>0</v>
      </c>
      <c r="E24" s="70">
        <f>SUM(E25:E27)</f>
        <v>0</v>
      </c>
      <c r="F24" s="70">
        <f>SUM(F25:F27)</f>
        <v>0</v>
      </c>
      <c r="G24" s="51">
        <f t="shared" si="2"/>
        <v>0</v>
      </c>
      <c r="H24" s="69" t="e">
        <f t="shared" si="3"/>
        <v>#DIV/0!</v>
      </c>
    </row>
    <row r="25" spans="1:11" ht="18" customHeight="1">
      <c r="A25" s="228" t="s">
        <v>303</v>
      </c>
      <c r="B25" s="209">
        <v>3141</v>
      </c>
      <c r="C25" s="51" t="s">
        <v>184</v>
      </c>
      <c r="D25" s="51" t="s">
        <v>184</v>
      </c>
      <c r="E25" s="51" t="s">
        <v>184</v>
      </c>
      <c r="F25" s="51" t="s">
        <v>184</v>
      </c>
      <c r="G25" s="51" t="e">
        <f t="shared" si="2"/>
        <v>#VALUE!</v>
      </c>
      <c r="H25" s="69" t="e">
        <f t="shared" si="3"/>
        <v>#VALUE!</v>
      </c>
    </row>
    <row r="26" spans="1:11" ht="18" customHeight="1">
      <c r="A26" s="228" t="s">
        <v>304</v>
      </c>
      <c r="B26" s="209">
        <v>3142</v>
      </c>
      <c r="C26" s="51" t="s">
        <v>184</v>
      </c>
      <c r="D26" s="51" t="s">
        <v>184</v>
      </c>
      <c r="E26" s="51" t="s">
        <v>184</v>
      </c>
      <c r="F26" s="51" t="s">
        <v>184</v>
      </c>
      <c r="G26" s="51" t="e">
        <f t="shared" si="2"/>
        <v>#VALUE!</v>
      </c>
      <c r="H26" s="69" t="e">
        <f t="shared" si="3"/>
        <v>#VALUE!</v>
      </c>
    </row>
    <row r="27" spans="1:11" ht="18" customHeight="1">
      <c r="A27" s="228" t="s">
        <v>305</v>
      </c>
      <c r="B27" s="209">
        <v>3143</v>
      </c>
      <c r="C27" s="51" t="s">
        <v>184</v>
      </c>
      <c r="D27" s="51" t="s">
        <v>184</v>
      </c>
      <c r="E27" s="51" t="s">
        <v>184</v>
      </c>
      <c r="F27" s="51" t="s">
        <v>184</v>
      </c>
      <c r="G27" s="51" t="e">
        <f t="shared" si="2"/>
        <v>#VALUE!</v>
      </c>
      <c r="H27" s="69" t="e">
        <f t="shared" si="3"/>
        <v>#VALUE!</v>
      </c>
    </row>
    <row r="28" spans="1:11" ht="36" customHeight="1">
      <c r="A28" s="228" t="s">
        <v>311</v>
      </c>
      <c r="B28" s="6">
        <v>3150</v>
      </c>
      <c r="C28" s="70">
        <f>SUM(C29:C34,C37)</f>
        <v>-3036.4</v>
      </c>
      <c r="D28" s="70">
        <f>SUM(D29:D34,D37)</f>
        <v>-3958.2999999999997</v>
      </c>
      <c r="E28" s="70">
        <f>SUM(E29:E34,E37)</f>
        <v>-4226</v>
      </c>
      <c r="F28" s="70">
        <f>SUM(F29:F34,F37)</f>
        <v>-3958.2999999999997</v>
      </c>
      <c r="G28" s="51">
        <f t="shared" si="2"/>
        <v>267.70000000000027</v>
      </c>
      <c r="H28" s="69">
        <f t="shared" si="3"/>
        <v>93.665404637955504</v>
      </c>
    </row>
    <row r="29" spans="1:11" ht="18" customHeight="1">
      <c r="A29" s="228" t="s">
        <v>45</v>
      </c>
      <c r="B29" s="209">
        <v>3151</v>
      </c>
      <c r="C29" s="51" t="s">
        <v>184</v>
      </c>
      <c r="D29" s="51" t="s">
        <v>184</v>
      </c>
      <c r="E29" s="51" t="s">
        <v>184</v>
      </c>
      <c r="F29" s="51" t="s">
        <v>184</v>
      </c>
      <c r="G29" s="51" t="e">
        <f t="shared" si="2"/>
        <v>#VALUE!</v>
      </c>
      <c r="H29" s="69" t="e">
        <f t="shared" si="3"/>
        <v>#VALUE!</v>
      </c>
    </row>
    <row r="30" spans="1:11" ht="18" customHeight="1">
      <c r="A30" s="228" t="s">
        <v>312</v>
      </c>
      <c r="B30" s="209">
        <v>3152</v>
      </c>
      <c r="C30" s="51" t="s">
        <v>184</v>
      </c>
      <c r="D30" s="256">
        <f>-1.6+-2.8+-3+-2</f>
        <v>-9.4</v>
      </c>
      <c r="E30" s="256" t="s">
        <v>184</v>
      </c>
      <c r="F30" s="256">
        <f>-1.6+-2.8+-3+-2</f>
        <v>-9.4</v>
      </c>
      <c r="G30" s="51" t="e">
        <f t="shared" si="2"/>
        <v>#VALUE!</v>
      </c>
      <c r="H30" s="69" t="e">
        <f t="shared" si="3"/>
        <v>#VALUE!</v>
      </c>
    </row>
    <row r="31" spans="1:11" ht="18" customHeight="1">
      <c r="A31" s="228" t="s">
        <v>277</v>
      </c>
      <c r="B31" s="209">
        <v>3153</v>
      </c>
      <c r="C31" s="51" t="s">
        <v>184</v>
      </c>
      <c r="D31" s="256" t="s">
        <v>184</v>
      </c>
      <c r="E31" s="256" t="s">
        <v>184</v>
      </c>
      <c r="F31" s="256" t="s">
        <v>184</v>
      </c>
      <c r="G31" s="51" t="e">
        <f t="shared" si="2"/>
        <v>#VALUE!</v>
      </c>
      <c r="H31" s="69" t="e">
        <f t="shared" si="3"/>
        <v>#VALUE!</v>
      </c>
    </row>
    <row r="32" spans="1:11" ht="18" customHeight="1">
      <c r="A32" s="228" t="s">
        <v>313</v>
      </c>
      <c r="B32" s="209">
        <v>3154</v>
      </c>
      <c r="C32" s="51" t="s">
        <v>184</v>
      </c>
      <c r="D32" s="256" t="s">
        <v>184</v>
      </c>
      <c r="E32" s="256" t="s">
        <v>184</v>
      </c>
      <c r="F32" s="256" t="s">
        <v>184</v>
      </c>
      <c r="G32" s="51" t="e">
        <f t="shared" si="2"/>
        <v>#VALUE!</v>
      </c>
      <c r="H32" s="69" t="e">
        <f t="shared" si="3"/>
        <v>#VALUE!</v>
      </c>
    </row>
    <row r="33" spans="1:8" ht="18" customHeight="1">
      <c r="A33" s="228" t="s">
        <v>280</v>
      </c>
      <c r="B33" s="209">
        <v>3155</v>
      </c>
      <c r="C33" s="51">
        <v>-2726.2</v>
      </c>
      <c r="D33" s="256">
        <f>-563.8+-787.3+-908+-873</f>
        <v>-3132.1</v>
      </c>
      <c r="E33" s="256">
        <v>-3303</v>
      </c>
      <c r="F33" s="256">
        <f>-563.8+-787.3+-908+-873</f>
        <v>-3132.1</v>
      </c>
      <c r="G33" s="51">
        <f t="shared" si="2"/>
        <v>170.90000000000009</v>
      </c>
      <c r="H33" s="69">
        <f t="shared" si="3"/>
        <v>94.82591583409021</v>
      </c>
    </row>
    <row r="34" spans="1:8" ht="24.75" customHeight="1">
      <c r="A34" s="133" t="s">
        <v>433</v>
      </c>
      <c r="B34" s="209">
        <v>3156</v>
      </c>
      <c r="C34" s="70">
        <v>-306.89999999999998</v>
      </c>
      <c r="D34" s="70">
        <f>-123.9+-218.4+-252+-218.8</f>
        <v>-813.09999999999991</v>
      </c>
      <c r="E34" s="70">
        <v>-918</v>
      </c>
      <c r="F34" s="70">
        <f>-123.9+-218.4+-252+-218.8</f>
        <v>-813.09999999999991</v>
      </c>
      <c r="G34" s="51">
        <f t="shared" si="2"/>
        <v>104.90000000000009</v>
      </c>
      <c r="H34" s="69">
        <f t="shared" si="3"/>
        <v>88.57298474945533</v>
      </c>
    </row>
    <row r="35" spans="1:8" ht="38.25" customHeight="1">
      <c r="A35" s="228" t="s">
        <v>48</v>
      </c>
      <c r="B35" s="209" t="s">
        <v>314</v>
      </c>
      <c r="C35" s="51" t="s">
        <v>184</v>
      </c>
      <c r="D35" s="51" t="s">
        <v>184</v>
      </c>
      <c r="E35" s="51" t="s">
        <v>184</v>
      </c>
      <c r="F35" s="51" t="s">
        <v>184</v>
      </c>
      <c r="G35" s="51" t="e">
        <f t="shared" si="2"/>
        <v>#VALUE!</v>
      </c>
      <c r="H35" s="69" t="e">
        <f t="shared" si="3"/>
        <v>#VALUE!</v>
      </c>
    </row>
    <row r="36" spans="1:8" ht="55.5" customHeight="1">
      <c r="A36" s="228" t="s">
        <v>49</v>
      </c>
      <c r="B36" s="209" t="s">
        <v>315</v>
      </c>
      <c r="C36" s="51" t="s">
        <v>184</v>
      </c>
      <c r="D36" s="51" t="s">
        <v>184</v>
      </c>
      <c r="E36" s="51" t="s">
        <v>184</v>
      </c>
      <c r="F36" s="51" t="s">
        <v>184</v>
      </c>
      <c r="G36" s="51" t="e">
        <f t="shared" si="2"/>
        <v>#VALUE!</v>
      </c>
      <c r="H36" s="69" t="e">
        <f t="shared" si="3"/>
        <v>#VALUE!</v>
      </c>
    </row>
    <row r="37" spans="1:8" ht="18" customHeight="1">
      <c r="A37" s="228" t="s">
        <v>415</v>
      </c>
      <c r="B37" s="209">
        <v>3157</v>
      </c>
      <c r="C37" s="51">
        <v>-3.3</v>
      </c>
      <c r="D37" s="256">
        <f>-3.7</f>
        <v>-3.7</v>
      </c>
      <c r="E37" s="256">
        <v>-5</v>
      </c>
      <c r="F37" s="256">
        <f>-3.7</f>
        <v>-3.7</v>
      </c>
      <c r="G37" s="51">
        <f t="shared" si="2"/>
        <v>1.2999999999999998</v>
      </c>
      <c r="H37" s="69">
        <f t="shared" si="3"/>
        <v>74</v>
      </c>
    </row>
    <row r="38" spans="1:8" ht="18" customHeight="1">
      <c r="A38" s="228" t="s">
        <v>316</v>
      </c>
      <c r="B38" s="6">
        <v>3160</v>
      </c>
      <c r="C38" s="51" t="s">
        <v>184</v>
      </c>
      <c r="D38" s="256" t="s">
        <v>184</v>
      </c>
      <c r="E38" s="256" t="s">
        <v>184</v>
      </c>
      <c r="F38" s="256" t="s">
        <v>184</v>
      </c>
      <c r="G38" s="51" t="e">
        <f t="shared" si="2"/>
        <v>#VALUE!</v>
      </c>
      <c r="H38" s="69" t="e">
        <f t="shared" si="3"/>
        <v>#VALUE!</v>
      </c>
    </row>
    <row r="39" spans="1:8" ht="18" customHeight="1">
      <c r="A39" s="228" t="s">
        <v>431</v>
      </c>
      <c r="B39" s="6">
        <v>3170</v>
      </c>
      <c r="C39" s="51">
        <v>-302.2</v>
      </c>
      <c r="D39" s="256">
        <f>-78.5+-80+-87+-19</f>
        <v>-264.5</v>
      </c>
      <c r="E39" s="256">
        <v>-195</v>
      </c>
      <c r="F39" s="256">
        <f>-78.5+-80+-87+-19</f>
        <v>-264.5</v>
      </c>
      <c r="G39" s="51">
        <f t="shared" si="2"/>
        <v>-69.5</v>
      </c>
      <c r="H39" s="69">
        <f t="shared" si="3"/>
        <v>135.64102564102564</v>
      </c>
    </row>
    <row r="40" spans="1:8" ht="20.100000000000001" customHeight="1">
      <c r="A40" s="211" t="s">
        <v>317</v>
      </c>
      <c r="B40" s="7">
        <v>3195</v>
      </c>
      <c r="C40" s="223">
        <f>SUM(C7,C20)</f>
        <v>371.09999999999854</v>
      </c>
      <c r="D40" s="223">
        <f>SUM(D7,D20)</f>
        <v>2231.7999999999993</v>
      </c>
      <c r="E40" s="223">
        <f>SUM(E7,E20)</f>
        <v>670</v>
      </c>
      <c r="F40" s="254">
        <f>SUM(F7,F20)</f>
        <v>2231.7999999999993</v>
      </c>
      <c r="G40" s="56">
        <f>F40-E40</f>
        <v>1561.7999999999993</v>
      </c>
      <c r="H40" s="71">
        <f>(F40/E40)*100</f>
        <v>333.10447761194018</v>
      </c>
    </row>
    <row r="41" spans="1:8" ht="20.100000000000001" customHeight="1">
      <c r="A41" s="144" t="s">
        <v>318</v>
      </c>
      <c r="B41" s="220"/>
      <c r="C41" s="220"/>
      <c r="D41" s="336"/>
      <c r="E41" s="337"/>
      <c r="F41" s="337"/>
      <c r="G41" s="337"/>
      <c r="H41" s="338"/>
    </row>
    <row r="42" spans="1:8" ht="20.100000000000001" customHeight="1">
      <c r="A42" s="67" t="s">
        <v>319</v>
      </c>
      <c r="B42" s="64">
        <v>3200</v>
      </c>
      <c r="C42" s="223">
        <f>SUM(C43,C45:C49)</f>
        <v>500</v>
      </c>
      <c r="D42" s="223">
        <f>SUM(D43,D45:D49)</f>
        <v>1064</v>
      </c>
      <c r="E42" s="223">
        <f>SUM(E43,E45:E49)</f>
        <v>1000</v>
      </c>
      <c r="F42" s="254">
        <f>SUM(F43,F45:F49)</f>
        <v>1064</v>
      </c>
      <c r="G42" s="56">
        <f>F42-E42</f>
        <v>64</v>
      </c>
      <c r="H42" s="71">
        <f>(F42/E42)*100</f>
        <v>106.4</v>
      </c>
    </row>
    <row r="43" spans="1:8" ht="18" customHeight="1">
      <c r="A43" s="228" t="s">
        <v>320</v>
      </c>
      <c r="B43" s="209">
        <v>3210</v>
      </c>
      <c r="C43" s="51"/>
      <c r="D43" s="51"/>
      <c r="E43" s="51"/>
      <c r="F43" s="51"/>
      <c r="G43" s="51">
        <f>F43-E43</f>
        <v>0</v>
      </c>
      <c r="H43" s="69" t="e">
        <f>(F43/E43)*100</f>
        <v>#DIV/0!</v>
      </c>
    </row>
    <row r="44" spans="1:8" ht="18" customHeight="1">
      <c r="A44" s="228" t="s">
        <v>321</v>
      </c>
      <c r="B44" s="6">
        <v>3215</v>
      </c>
      <c r="C44" s="51"/>
      <c r="D44" s="51"/>
      <c r="E44" s="51"/>
      <c r="F44" s="51"/>
      <c r="G44" s="51">
        <f t="shared" ref="G44:G49" si="4">F44-E44</f>
        <v>0</v>
      </c>
      <c r="H44" s="69" t="e">
        <f t="shared" ref="H44:H49" si="5">(F44/E44)*100</f>
        <v>#DIV/0!</v>
      </c>
    </row>
    <row r="45" spans="1:8" ht="18" customHeight="1">
      <c r="A45" s="228" t="s">
        <v>322</v>
      </c>
      <c r="B45" s="6">
        <v>3220</v>
      </c>
      <c r="C45" s="51"/>
      <c r="D45" s="51"/>
      <c r="E45" s="51"/>
      <c r="F45" s="51"/>
      <c r="G45" s="51">
        <f t="shared" si="4"/>
        <v>0</v>
      </c>
      <c r="H45" s="69" t="e">
        <f t="shared" si="5"/>
        <v>#DIV/0!</v>
      </c>
    </row>
    <row r="46" spans="1:8" ht="18" customHeight="1">
      <c r="A46" s="228" t="s">
        <v>323</v>
      </c>
      <c r="B46" s="6">
        <v>3225</v>
      </c>
      <c r="C46" s="51"/>
      <c r="D46" s="51"/>
      <c r="E46" s="51"/>
      <c r="F46" s="51"/>
      <c r="G46" s="51">
        <f t="shared" si="4"/>
        <v>0</v>
      </c>
      <c r="H46" s="69" t="e">
        <f t="shared" si="5"/>
        <v>#DIV/0!</v>
      </c>
    </row>
    <row r="47" spans="1:8" ht="18" customHeight="1">
      <c r="A47" s="228" t="s">
        <v>324</v>
      </c>
      <c r="B47" s="6">
        <v>3230</v>
      </c>
      <c r="C47" s="51"/>
      <c r="D47" s="51"/>
      <c r="E47" s="51"/>
      <c r="F47" s="51"/>
      <c r="G47" s="51">
        <f t="shared" si="4"/>
        <v>0</v>
      </c>
      <c r="H47" s="69" t="e">
        <f t="shared" si="5"/>
        <v>#DIV/0!</v>
      </c>
    </row>
    <row r="48" spans="1:8" ht="18" customHeight="1">
      <c r="A48" s="228" t="s">
        <v>325</v>
      </c>
      <c r="B48" s="6">
        <v>3235</v>
      </c>
      <c r="C48" s="51"/>
      <c r="D48" s="51"/>
      <c r="E48" s="51"/>
      <c r="F48" s="51"/>
      <c r="G48" s="51">
        <f t="shared" si="4"/>
        <v>0</v>
      </c>
      <c r="H48" s="69" t="e">
        <f t="shared" si="5"/>
        <v>#DIV/0!</v>
      </c>
    </row>
    <row r="49" spans="1:8" ht="18" customHeight="1">
      <c r="A49" s="228" t="s">
        <v>416</v>
      </c>
      <c r="B49" s="6">
        <v>3240</v>
      </c>
      <c r="C49" s="51">
        <v>500</v>
      </c>
      <c r="D49" s="256">
        <v>1064</v>
      </c>
      <c r="E49" s="256">
        <v>1000</v>
      </c>
      <c r="F49" s="256">
        <v>1064</v>
      </c>
      <c r="G49" s="51">
        <f t="shared" si="4"/>
        <v>64</v>
      </c>
      <c r="H49" s="69">
        <f t="shared" si="5"/>
        <v>106.4</v>
      </c>
    </row>
    <row r="50" spans="1:8" ht="20.100000000000001" customHeight="1">
      <c r="A50" s="211" t="s">
        <v>326</v>
      </c>
      <c r="B50" s="7">
        <v>3255</v>
      </c>
      <c r="C50" s="223">
        <f>SUM(C51,C53,C58,C59)</f>
        <v>-500</v>
      </c>
      <c r="D50" s="223">
        <f>SUM(D51,D53,D58,D59)</f>
        <v>-1834</v>
      </c>
      <c r="E50" s="223">
        <f>SUM(E51,E53,E58,E59)</f>
        <v>-1000</v>
      </c>
      <c r="F50" s="254">
        <f>SUM(F51,F53,F58,F59)</f>
        <v>-1834</v>
      </c>
      <c r="G50" s="56">
        <f>F50-E50</f>
        <v>-834</v>
      </c>
      <c r="H50" s="71">
        <f>(F50/E50)*100</f>
        <v>183.4</v>
      </c>
    </row>
    <row r="51" spans="1:8" ht="18" customHeight="1">
      <c r="A51" s="228" t="s">
        <v>327</v>
      </c>
      <c r="B51" s="6">
        <v>3260</v>
      </c>
      <c r="C51" s="51" t="s">
        <v>184</v>
      </c>
      <c r="D51" s="51" t="s">
        <v>184</v>
      </c>
      <c r="E51" s="51" t="s">
        <v>184</v>
      </c>
      <c r="F51" s="51" t="s">
        <v>184</v>
      </c>
      <c r="G51" s="51" t="e">
        <f>F51-E51</f>
        <v>#VALUE!</v>
      </c>
      <c r="H51" s="69" t="e">
        <f>(F51/E51)*100</f>
        <v>#VALUE!</v>
      </c>
    </row>
    <row r="52" spans="1:8" ht="18" customHeight="1">
      <c r="A52" s="228" t="s">
        <v>328</v>
      </c>
      <c r="B52" s="6">
        <v>3265</v>
      </c>
      <c r="C52" s="51" t="s">
        <v>184</v>
      </c>
      <c r="D52" s="51" t="s">
        <v>184</v>
      </c>
      <c r="E52" s="51" t="s">
        <v>184</v>
      </c>
      <c r="F52" s="51" t="s">
        <v>184</v>
      </c>
      <c r="G52" s="51" t="e">
        <f t="shared" ref="G52:G59" si="6">F52-E52</f>
        <v>#VALUE!</v>
      </c>
      <c r="H52" s="69" t="e">
        <f t="shared" ref="H52:H59" si="7">(F52/E52)*100</f>
        <v>#VALUE!</v>
      </c>
    </row>
    <row r="53" spans="1:8" ht="18" customHeight="1">
      <c r="A53" s="228" t="s">
        <v>329</v>
      </c>
      <c r="B53" s="6">
        <v>3270</v>
      </c>
      <c r="C53" s="70">
        <f>SUM(C54:C57)</f>
        <v>0</v>
      </c>
      <c r="D53" s="70">
        <f>SUM(D54:D57)</f>
        <v>-770</v>
      </c>
      <c r="E53" s="70">
        <f>SUM(E54:E57)</f>
        <v>0</v>
      </c>
      <c r="F53" s="70">
        <f>SUM(F54:F57)</f>
        <v>-770</v>
      </c>
      <c r="G53" s="51">
        <f t="shared" si="6"/>
        <v>-770</v>
      </c>
      <c r="H53" s="69" t="e">
        <f t="shared" si="7"/>
        <v>#DIV/0!</v>
      </c>
    </row>
    <row r="54" spans="1:8" ht="18" customHeight="1">
      <c r="A54" s="228" t="s">
        <v>330</v>
      </c>
      <c r="B54" s="6">
        <v>3271</v>
      </c>
      <c r="C54" s="51"/>
      <c r="D54" s="51">
        <v>-406</v>
      </c>
      <c r="E54" s="51" t="s">
        <v>184</v>
      </c>
      <c r="F54" s="51">
        <v>-406</v>
      </c>
      <c r="G54" s="51" t="e">
        <f t="shared" si="6"/>
        <v>#VALUE!</v>
      </c>
      <c r="H54" s="69" t="e">
        <f t="shared" si="7"/>
        <v>#VALUE!</v>
      </c>
    </row>
    <row r="55" spans="1:8" ht="18" customHeight="1">
      <c r="A55" s="228" t="s">
        <v>331</v>
      </c>
      <c r="B55" s="6">
        <v>3272</v>
      </c>
      <c r="C55" s="51" t="s">
        <v>184</v>
      </c>
      <c r="D55" s="51" t="s">
        <v>184</v>
      </c>
      <c r="E55" s="51" t="s">
        <v>184</v>
      </c>
      <c r="F55" s="51" t="s">
        <v>184</v>
      </c>
      <c r="G55" s="51" t="e">
        <f t="shared" si="6"/>
        <v>#VALUE!</v>
      </c>
      <c r="H55" s="69" t="e">
        <f t="shared" si="7"/>
        <v>#VALUE!</v>
      </c>
    </row>
    <row r="56" spans="1:8" ht="18" customHeight="1">
      <c r="A56" s="228" t="s">
        <v>332</v>
      </c>
      <c r="B56" s="6">
        <v>3273</v>
      </c>
      <c r="C56" s="51" t="s">
        <v>184</v>
      </c>
      <c r="D56" s="51">
        <v>-364</v>
      </c>
      <c r="E56" s="51" t="s">
        <v>184</v>
      </c>
      <c r="F56" s="51">
        <v>-364</v>
      </c>
      <c r="G56" s="51" t="e">
        <f t="shared" si="6"/>
        <v>#VALUE!</v>
      </c>
      <c r="H56" s="69" t="e">
        <f t="shared" si="7"/>
        <v>#VALUE!</v>
      </c>
    </row>
    <row r="57" spans="1:8" ht="18" customHeight="1">
      <c r="A57" s="228" t="s">
        <v>333</v>
      </c>
      <c r="B57" s="6">
        <v>3274</v>
      </c>
      <c r="C57" s="51"/>
      <c r="D57" s="51" t="s">
        <v>184</v>
      </c>
      <c r="E57" s="51" t="s">
        <v>184</v>
      </c>
      <c r="F57" s="51" t="s">
        <v>184</v>
      </c>
      <c r="G57" s="51" t="e">
        <f>F57-E57</f>
        <v>#VALUE!</v>
      </c>
      <c r="H57" s="69" t="e">
        <f>(F57/E57)*100</f>
        <v>#VALUE!</v>
      </c>
    </row>
    <row r="58" spans="1:8" ht="18" customHeight="1">
      <c r="A58" s="228" t="s">
        <v>334</v>
      </c>
      <c r="B58" s="6">
        <v>3280</v>
      </c>
      <c r="C58" s="51" t="s">
        <v>184</v>
      </c>
      <c r="D58" s="51" t="s">
        <v>184</v>
      </c>
      <c r="E58" s="51" t="s">
        <v>184</v>
      </c>
      <c r="F58" s="51" t="s">
        <v>184</v>
      </c>
      <c r="G58" s="51" t="e">
        <f t="shared" si="6"/>
        <v>#VALUE!</v>
      </c>
      <c r="H58" s="69" t="e">
        <f t="shared" si="7"/>
        <v>#VALUE!</v>
      </c>
    </row>
    <row r="59" spans="1:8" ht="18" customHeight="1">
      <c r="A59" s="228" t="s">
        <v>335</v>
      </c>
      <c r="B59" s="6">
        <v>3290</v>
      </c>
      <c r="C59" s="51">
        <v>-500</v>
      </c>
      <c r="D59" s="256">
        <f>-989+-75</f>
        <v>-1064</v>
      </c>
      <c r="E59" s="256">
        <v>-1000</v>
      </c>
      <c r="F59" s="256">
        <f>-989+-75</f>
        <v>-1064</v>
      </c>
      <c r="G59" s="51">
        <f t="shared" si="6"/>
        <v>-64</v>
      </c>
      <c r="H59" s="69">
        <f t="shared" si="7"/>
        <v>106.4</v>
      </c>
    </row>
    <row r="60" spans="1:8" ht="20.100000000000001" customHeight="1">
      <c r="A60" s="68" t="s">
        <v>336</v>
      </c>
      <c r="B60" s="65">
        <v>3295</v>
      </c>
      <c r="C60" s="81">
        <f>SUM(C42,C50)</f>
        <v>0</v>
      </c>
      <c r="D60" s="81">
        <f>SUM(D42,D50)</f>
        <v>-770</v>
      </c>
      <c r="E60" s="81">
        <f>SUM(E42,E50)</f>
        <v>0</v>
      </c>
      <c r="F60" s="81">
        <f>SUM(F42,F50)</f>
        <v>-770</v>
      </c>
      <c r="G60" s="82">
        <f>F60-E60</f>
        <v>-770</v>
      </c>
      <c r="H60" s="83" t="e">
        <f>(F60/E60)*100</f>
        <v>#DIV/0!</v>
      </c>
    </row>
    <row r="61" spans="1:8" ht="20.100000000000001" customHeight="1">
      <c r="A61" s="144" t="s">
        <v>337</v>
      </c>
      <c r="B61" s="220"/>
      <c r="C61" s="220"/>
      <c r="D61" s="220"/>
      <c r="E61" s="220"/>
      <c r="F61" s="220"/>
      <c r="G61" s="62"/>
      <c r="H61" s="85"/>
    </row>
    <row r="62" spans="1:8" ht="20.100000000000001" customHeight="1">
      <c r="A62" s="67" t="s">
        <v>338</v>
      </c>
      <c r="B62" s="64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3">
        <f t="shared" ref="G62:G70" si="8">F62-E62</f>
        <v>0</v>
      </c>
      <c r="H62" s="84" t="e">
        <f t="shared" ref="H62:H70" si="9">(F62/E62)*100</f>
        <v>#DIV/0!</v>
      </c>
    </row>
    <row r="63" spans="1:8" ht="18" customHeight="1">
      <c r="A63" s="228" t="s">
        <v>339</v>
      </c>
      <c r="B63" s="6">
        <v>3305</v>
      </c>
      <c r="C63" s="51"/>
      <c r="D63" s="51"/>
      <c r="E63" s="51"/>
      <c r="F63" s="51"/>
      <c r="G63" s="51">
        <f t="shared" si="8"/>
        <v>0</v>
      </c>
      <c r="H63" s="69" t="e">
        <f t="shared" si="9"/>
        <v>#DIV/0!</v>
      </c>
    </row>
    <row r="64" spans="1:8" ht="18" customHeight="1">
      <c r="A64" s="228" t="s">
        <v>340</v>
      </c>
      <c r="B64" s="6">
        <v>3310</v>
      </c>
      <c r="C64" s="70">
        <f>SUM(C65:C67)</f>
        <v>0</v>
      </c>
      <c r="D64" s="70">
        <f>SUM(D65:D67)</f>
        <v>0</v>
      </c>
      <c r="E64" s="70">
        <f>SUM(E65:E67)</f>
        <v>0</v>
      </c>
      <c r="F64" s="70">
        <f>SUM(F65:F67)</f>
        <v>0</v>
      </c>
      <c r="G64" s="51">
        <f t="shared" si="8"/>
        <v>0</v>
      </c>
      <c r="H64" s="69" t="e">
        <f t="shared" si="9"/>
        <v>#DIV/0!</v>
      </c>
    </row>
    <row r="65" spans="1:8" ht="18" customHeight="1">
      <c r="A65" s="228" t="s">
        <v>303</v>
      </c>
      <c r="B65" s="209">
        <v>3311</v>
      </c>
      <c r="C65" s="51"/>
      <c r="D65" s="51"/>
      <c r="E65" s="51"/>
      <c r="F65" s="51"/>
      <c r="G65" s="51">
        <f t="shared" si="8"/>
        <v>0</v>
      </c>
      <c r="H65" s="69" t="e">
        <f t="shared" si="9"/>
        <v>#DIV/0!</v>
      </c>
    </row>
    <row r="66" spans="1:8" ht="18" customHeight="1">
      <c r="A66" s="228" t="s">
        <v>304</v>
      </c>
      <c r="B66" s="209">
        <v>3312</v>
      </c>
      <c r="C66" s="51"/>
      <c r="D66" s="51"/>
      <c r="E66" s="51"/>
      <c r="F66" s="51"/>
      <c r="G66" s="51">
        <f t="shared" si="8"/>
        <v>0</v>
      </c>
      <c r="H66" s="69" t="e">
        <f t="shared" si="9"/>
        <v>#DIV/0!</v>
      </c>
    </row>
    <row r="67" spans="1:8" ht="18" customHeight="1">
      <c r="A67" s="228" t="s">
        <v>305</v>
      </c>
      <c r="B67" s="209">
        <v>3313</v>
      </c>
      <c r="C67" s="51"/>
      <c r="D67" s="51"/>
      <c r="E67" s="51"/>
      <c r="F67" s="51"/>
      <c r="G67" s="51">
        <f t="shared" si="8"/>
        <v>0</v>
      </c>
      <c r="H67" s="69" t="e">
        <f t="shared" si="9"/>
        <v>#DIV/0!</v>
      </c>
    </row>
    <row r="68" spans="1:8" ht="18" customHeight="1">
      <c r="A68" s="228" t="s">
        <v>306</v>
      </c>
      <c r="B68" s="6">
        <v>3320</v>
      </c>
      <c r="C68" s="51"/>
      <c r="D68" s="51"/>
      <c r="E68" s="51"/>
      <c r="F68" s="51"/>
      <c r="G68" s="51">
        <f t="shared" si="8"/>
        <v>0</v>
      </c>
      <c r="H68" s="69" t="e">
        <f t="shared" si="9"/>
        <v>#DIV/0!</v>
      </c>
    </row>
    <row r="69" spans="1:8" ht="20.100000000000001" customHeight="1">
      <c r="A69" s="211" t="s">
        <v>341</v>
      </c>
      <c r="B69" s="7">
        <v>3330</v>
      </c>
      <c r="C69" s="223">
        <f>SUM(C70,C71,C75:C78)</f>
        <v>0</v>
      </c>
      <c r="D69" s="223">
        <f>SUM(D70,D71,D75:D78)</f>
        <v>0</v>
      </c>
      <c r="E69" s="223">
        <f>SUM(E70,E71,E75:E78)</f>
        <v>0</v>
      </c>
      <c r="F69" s="223">
        <f>SUM(F70,F71,F75:F78)</f>
        <v>0</v>
      </c>
      <c r="G69" s="56">
        <f t="shared" si="8"/>
        <v>0</v>
      </c>
      <c r="H69" s="71" t="e">
        <f t="shared" si="9"/>
        <v>#DIV/0!</v>
      </c>
    </row>
    <row r="70" spans="1:8" ht="18" customHeight="1">
      <c r="A70" s="228" t="s">
        <v>342</v>
      </c>
      <c r="B70" s="6">
        <v>3335</v>
      </c>
      <c r="C70" s="51" t="s">
        <v>184</v>
      </c>
      <c r="D70" s="51" t="s">
        <v>184</v>
      </c>
      <c r="E70" s="51" t="s">
        <v>184</v>
      </c>
      <c r="F70" s="51" t="s">
        <v>184</v>
      </c>
      <c r="G70" s="51" t="e">
        <f t="shared" si="8"/>
        <v>#VALUE!</v>
      </c>
      <c r="H70" s="69" t="e">
        <f t="shared" si="9"/>
        <v>#VALUE!</v>
      </c>
    </row>
    <row r="71" spans="1:8" ht="18" customHeight="1">
      <c r="A71" s="228" t="s">
        <v>343</v>
      </c>
      <c r="B71" s="209">
        <v>3340</v>
      </c>
      <c r="C71" s="70">
        <f>SUM(C72:C74)</f>
        <v>0</v>
      </c>
      <c r="D71" s="70">
        <f>SUM(D72:D74)</f>
        <v>0</v>
      </c>
      <c r="E71" s="70">
        <f>SUM(E72:E74)</f>
        <v>0</v>
      </c>
      <c r="F71" s="70">
        <f>SUM(F72:F74)</f>
        <v>0</v>
      </c>
      <c r="G71" s="51">
        <f t="shared" ref="G71:G78" si="10">F71-E71</f>
        <v>0</v>
      </c>
      <c r="H71" s="69" t="e">
        <f t="shared" ref="H71:H78" si="11">(F71/E71)*100</f>
        <v>#DIV/0!</v>
      </c>
    </row>
    <row r="72" spans="1:8" ht="18" customHeight="1">
      <c r="A72" s="228" t="s">
        <v>303</v>
      </c>
      <c r="B72" s="209">
        <v>3341</v>
      </c>
      <c r="C72" s="51" t="s">
        <v>184</v>
      </c>
      <c r="D72" s="51" t="s">
        <v>184</v>
      </c>
      <c r="E72" s="51" t="s">
        <v>184</v>
      </c>
      <c r="F72" s="51" t="s">
        <v>184</v>
      </c>
      <c r="G72" s="51" t="e">
        <f t="shared" si="10"/>
        <v>#VALUE!</v>
      </c>
      <c r="H72" s="69" t="e">
        <f t="shared" si="11"/>
        <v>#VALUE!</v>
      </c>
    </row>
    <row r="73" spans="1:8" ht="18" customHeight="1">
      <c r="A73" s="228" t="s">
        <v>304</v>
      </c>
      <c r="B73" s="209">
        <v>3342</v>
      </c>
      <c r="C73" s="51" t="s">
        <v>184</v>
      </c>
      <c r="D73" s="51" t="s">
        <v>184</v>
      </c>
      <c r="E73" s="51" t="s">
        <v>184</v>
      </c>
      <c r="F73" s="51" t="s">
        <v>184</v>
      </c>
      <c r="G73" s="51" t="e">
        <f t="shared" si="10"/>
        <v>#VALUE!</v>
      </c>
      <c r="H73" s="69" t="e">
        <f t="shared" si="11"/>
        <v>#VALUE!</v>
      </c>
    </row>
    <row r="74" spans="1:8" ht="18" customHeight="1">
      <c r="A74" s="228" t="s">
        <v>305</v>
      </c>
      <c r="B74" s="209">
        <v>3343</v>
      </c>
      <c r="C74" s="51" t="s">
        <v>184</v>
      </c>
      <c r="D74" s="51" t="s">
        <v>184</v>
      </c>
      <c r="E74" s="51" t="s">
        <v>184</v>
      </c>
      <c r="F74" s="51" t="s">
        <v>184</v>
      </c>
      <c r="G74" s="51" t="e">
        <f t="shared" si="10"/>
        <v>#VALUE!</v>
      </c>
      <c r="H74" s="69" t="e">
        <f t="shared" si="11"/>
        <v>#VALUE!</v>
      </c>
    </row>
    <row r="75" spans="1:8" ht="18" customHeight="1">
      <c r="A75" s="228" t="s">
        <v>344</v>
      </c>
      <c r="B75" s="209">
        <v>3350</v>
      </c>
      <c r="C75" s="51" t="s">
        <v>184</v>
      </c>
      <c r="D75" s="51" t="s">
        <v>184</v>
      </c>
      <c r="E75" s="51" t="s">
        <v>184</v>
      </c>
      <c r="F75" s="51" t="s">
        <v>184</v>
      </c>
      <c r="G75" s="51" t="e">
        <f t="shared" si="10"/>
        <v>#VALUE!</v>
      </c>
      <c r="H75" s="69" t="e">
        <f t="shared" si="11"/>
        <v>#VALUE!</v>
      </c>
    </row>
    <row r="76" spans="1:8" ht="21.75" customHeight="1">
      <c r="A76" s="228" t="s">
        <v>345</v>
      </c>
      <c r="B76" s="209">
        <v>3360</v>
      </c>
      <c r="C76" s="51" t="s">
        <v>184</v>
      </c>
      <c r="D76" s="51" t="s">
        <v>184</v>
      </c>
      <c r="E76" s="51" t="s">
        <v>184</v>
      </c>
      <c r="F76" s="51" t="s">
        <v>184</v>
      </c>
      <c r="G76" s="51" t="e">
        <f t="shared" si="10"/>
        <v>#VALUE!</v>
      </c>
      <c r="H76" s="69" t="e">
        <f t="shared" si="11"/>
        <v>#VALUE!</v>
      </c>
    </row>
    <row r="77" spans="1:8" ht="23.25" customHeight="1">
      <c r="A77" s="228" t="s">
        <v>346</v>
      </c>
      <c r="B77" s="209">
        <v>3370</v>
      </c>
      <c r="C77" s="51" t="s">
        <v>184</v>
      </c>
      <c r="D77" s="51" t="s">
        <v>184</v>
      </c>
      <c r="E77" s="51" t="s">
        <v>184</v>
      </c>
      <c r="F77" s="51" t="s">
        <v>184</v>
      </c>
      <c r="G77" s="51" t="e">
        <f t="shared" si="10"/>
        <v>#VALUE!</v>
      </c>
      <c r="H77" s="69" t="e">
        <f t="shared" si="11"/>
        <v>#VALUE!</v>
      </c>
    </row>
    <row r="78" spans="1:8" ht="18" customHeight="1">
      <c r="A78" s="228" t="s">
        <v>335</v>
      </c>
      <c r="B78" s="6">
        <v>3380</v>
      </c>
      <c r="C78" s="51" t="s">
        <v>184</v>
      </c>
      <c r="D78" s="51" t="s">
        <v>184</v>
      </c>
      <c r="E78" s="51" t="s">
        <v>184</v>
      </c>
      <c r="F78" s="51" t="s">
        <v>184</v>
      </c>
      <c r="G78" s="51" t="e">
        <f t="shared" si="10"/>
        <v>#VALUE!</v>
      </c>
      <c r="H78" s="69" t="e">
        <f t="shared" si="11"/>
        <v>#VALUE!</v>
      </c>
    </row>
    <row r="79" spans="1:8" ht="20.100000000000001" customHeight="1">
      <c r="A79" s="211" t="s">
        <v>347</v>
      </c>
      <c r="B79" s="7">
        <v>3395</v>
      </c>
      <c r="C79" s="223">
        <f>SUM(C62,C69)</f>
        <v>0</v>
      </c>
      <c r="D79" s="223">
        <f>SUM(D62,D69)</f>
        <v>0</v>
      </c>
      <c r="E79" s="223">
        <f>SUM(E62,E69)</f>
        <v>0</v>
      </c>
      <c r="F79" s="223">
        <f>SUM(F62,F69)</f>
        <v>0</v>
      </c>
      <c r="G79" s="56">
        <f>F79-E79</f>
        <v>0</v>
      </c>
      <c r="H79" s="71" t="e">
        <f>(F79/E79)*100</f>
        <v>#DIV/0!</v>
      </c>
    </row>
    <row r="80" spans="1:8" ht="20.100000000000001" customHeight="1">
      <c r="A80" s="211" t="s">
        <v>348</v>
      </c>
      <c r="B80" s="7">
        <v>3400</v>
      </c>
      <c r="C80" s="223">
        <f>SUM(C40,C60,C79)</f>
        <v>371.09999999999854</v>
      </c>
      <c r="D80" s="223">
        <f>SUM(D40,D60,D79)</f>
        <v>1461.7999999999993</v>
      </c>
      <c r="E80" s="223">
        <f>SUM(E40,E60,E79)</f>
        <v>670</v>
      </c>
      <c r="F80" s="223">
        <f>SUM(F40,F60,F79)</f>
        <v>1461.7999999999993</v>
      </c>
      <c r="G80" s="56">
        <f>F80-E80</f>
        <v>791.79999999999927</v>
      </c>
      <c r="H80" s="71">
        <f>(F80/E80)*100</f>
        <v>218.17910447761184</v>
      </c>
    </row>
    <row r="81" spans="1:8" ht="20.100000000000001" customHeight="1">
      <c r="A81" s="228" t="s">
        <v>349</v>
      </c>
      <c r="B81" s="6">
        <v>3405</v>
      </c>
      <c r="C81" s="51">
        <v>111.1</v>
      </c>
      <c r="D81" s="51">
        <v>482.2</v>
      </c>
      <c r="E81" s="51">
        <v>203</v>
      </c>
      <c r="F81" s="51">
        <v>482</v>
      </c>
      <c r="G81" s="51">
        <f>F81-E81</f>
        <v>279</v>
      </c>
      <c r="H81" s="69">
        <f>(F81/E81)*100</f>
        <v>237.4384236453202</v>
      </c>
    </row>
    <row r="82" spans="1:8" ht="20.100000000000001" customHeight="1">
      <c r="A82" s="45" t="s">
        <v>350</v>
      </c>
      <c r="B82" s="6">
        <v>3410</v>
      </c>
      <c r="C82" s="51"/>
      <c r="D82" s="51"/>
      <c r="E82" s="51"/>
      <c r="F82" s="51"/>
      <c r="G82" s="51">
        <f>F82-E82</f>
        <v>0</v>
      </c>
      <c r="H82" s="69" t="e">
        <f>(F82/E82)*100</f>
        <v>#DIV/0!</v>
      </c>
    </row>
    <row r="83" spans="1:8" ht="20.100000000000001" customHeight="1">
      <c r="A83" s="228" t="s">
        <v>351</v>
      </c>
      <c r="B83" s="6">
        <v>3415</v>
      </c>
      <c r="C83" s="57">
        <f>SUM(C81,C80,C82)</f>
        <v>482.19999999999857</v>
      </c>
      <c r="D83" s="57">
        <f>SUM(D81,D80,D82)</f>
        <v>1943.9999999999993</v>
      </c>
      <c r="E83" s="57">
        <f>SUM(E81,E80,E82)</f>
        <v>873</v>
      </c>
      <c r="F83" s="57">
        <f>SUM(F81,F80,F82)</f>
        <v>1943.7999999999993</v>
      </c>
      <c r="G83" s="51">
        <f>F83-E83</f>
        <v>1070.7999999999993</v>
      </c>
      <c r="H83" s="69">
        <f>(F83/E83)*100</f>
        <v>222.65750286368836</v>
      </c>
    </row>
    <row r="84" spans="1:8" ht="15.75" customHeight="1">
      <c r="A84" s="207"/>
      <c r="B84" s="1"/>
      <c r="C84" s="73"/>
      <c r="D84" s="73"/>
      <c r="E84" s="73"/>
      <c r="F84" s="73"/>
      <c r="G84" s="73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21.75" customHeight="1">
      <c r="A86" s="234" t="s">
        <v>412</v>
      </c>
      <c r="B86" s="1"/>
      <c r="C86" s="295" t="s">
        <v>254</v>
      </c>
      <c r="D86" s="295"/>
      <c r="E86" s="44"/>
      <c r="F86" s="229"/>
      <c r="G86" s="229"/>
      <c r="H86" s="229"/>
    </row>
    <row r="87" spans="1:8">
      <c r="A87" s="214"/>
      <c r="B87" s="229"/>
      <c r="C87" s="268" t="s">
        <v>155</v>
      </c>
      <c r="D87" s="268"/>
      <c r="E87" s="229"/>
      <c r="F87" s="288" t="s">
        <v>413</v>
      </c>
      <c r="G87" s="288"/>
      <c r="H87" s="288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3"/>
  <sheetViews>
    <sheetView zoomScale="60" zoomScaleNormal="60" zoomScaleSheetLayoutView="53" workbookViewId="0">
      <selection activeCell="O48" sqref="O48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74" t="s">
        <v>352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29"/>
      <c r="Q1" s="229"/>
      <c r="R1" s="229"/>
      <c r="S1" s="229"/>
    </row>
    <row r="2" spans="1:19">
      <c r="A2" s="358"/>
      <c r="B2" s="358"/>
      <c r="C2" s="358"/>
      <c r="D2" s="358"/>
      <c r="E2" s="358"/>
      <c r="F2" s="358"/>
      <c r="G2" s="358"/>
      <c r="H2" s="358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</row>
    <row r="3" spans="1:19" ht="57" customHeight="1">
      <c r="A3" s="302" t="s">
        <v>28</v>
      </c>
      <c r="B3" s="302"/>
      <c r="C3" s="302"/>
      <c r="D3" s="302"/>
      <c r="E3" s="302"/>
      <c r="F3" s="302"/>
      <c r="G3" s="205" t="s">
        <v>29</v>
      </c>
      <c r="H3" s="355" t="s">
        <v>30</v>
      </c>
      <c r="I3" s="356"/>
      <c r="J3" s="356"/>
      <c r="K3" s="357"/>
      <c r="L3" s="330" t="s">
        <v>31</v>
      </c>
      <c r="M3" s="330"/>
      <c r="N3" s="330"/>
      <c r="O3" s="330"/>
      <c r="P3" s="330"/>
      <c r="Q3" s="330"/>
      <c r="R3" s="330"/>
      <c r="S3" s="330"/>
    </row>
    <row r="4" spans="1:19" ht="56.25" customHeight="1">
      <c r="A4" s="302"/>
      <c r="B4" s="302"/>
      <c r="C4" s="302"/>
      <c r="D4" s="302"/>
      <c r="E4" s="302"/>
      <c r="F4" s="302"/>
      <c r="G4" s="205"/>
      <c r="H4" s="276" t="s">
        <v>32</v>
      </c>
      <c r="I4" s="276"/>
      <c r="J4" s="276" t="s">
        <v>33</v>
      </c>
      <c r="K4" s="276"/>
      <c r="L4" s="276" t="s">
        <v>34</v>
      </c>
      <c r="M4" s="276"/>
      <c r="N4" s="317" t="s">
        <v>35</v>
      </c>
      <c r="O4" s="309"/>
      <c r="P4" s="302" t="s">
        <v>36</v>
      </c>
      <c r="Q4" s="302"/>
      <c r="R4" s="302" t="s">
        <v>37</v>
      </c>
      <c r="S4" s="302"/>
    </row>
    <row r="5" spans="1:19" ht="18" customHeight="1">
      <c r="A5" s="302">
        <v>1</v>
      </c>
      <c r="B5" s="302"/>
      <c r="C5" s="302"/>
      <c r="D5" s="302"/>
      <c r="E5" s="302"/>
      <c r="F5" s="302"/>
      <c r="G5" s="205">
        <v>2</v>
      </c>
      <c r="H5" s="276"/>
      <c r="I5" s="276"/>
      <c r="J5" s="276"/>
      <c r="K5" s="276"/>
      <c r="L5" s="276">
        <v>5</v>
      </c>
      <c r="M5" s="276">
        <v>5</v>
      </c>
      <c r="N5" s="276">
        <v>6</v>
      </c>
      <c r="O5" s="276"/>
      <c r="P5" s="302">
        <v>7</v>
      </c>
      <c r="Q5" s="302"/>
      <c r="R5" s="302">
        <v>8</v>
      </c>
      <c r="S5" s="302"/>
    </row>
    <row r="6" spans="1:19" s="5" customFormat="1" ht="37.5" customHeight="1">
      <c r="A6" s="307" t="s">
        <v>353</v>
      </c>
      <c r="B6" s="307"/>
      <c r="C6" s="307"/>
      <c r="D6" s="307"/>
      <c r="E6" s="307"/>
      <c r="F6" s="307"/>
      <c r="G6" s="96">
        <v>4000</v>
      </c>
      <c r="H6" s="344">
        <f t="shared" ref="H6:O6" si="0">SUM(H7:H12)</f>
        <v>1604.6999999999998</v>
      </c>
      <c r="I6" s="344">
        <f t="shared" si="0"/>
        <v>0</v>
      </c>
      <c r="J6" s="344">
        <f t="shared" si="0"/>
        <v>2840</v>
      </c>
      <c r="K6" s="344">
        <f t="shared" si="0"/>
        <v>0</v>
      </c>
      <c r="L6" s="344">
        <f t="shared" si="0"/>
        <v>1300</v>
      </c>
      <c r="M6" s="344">
        <f t="shared" si="0"/>
        <v>0</v>
      </c>
      <c r="N6" s="344">
        <f t="shared" si="0"/>
        <v>2840</v>
      </c>
      <c r="O6" s="344">
        <f t="shared" si="0"/>
        <v>0</v>
      </c>
      <c r="P6" s="344">
        <f t="shared" ref="P6:P12" si="1">SUM(N6-L6)</f>
        <v>1540</v>
      </c>
      <c r="Q6" s="344">
        <f t="shared" ref="Q6:Q12" si="2">SUM(B6,E6,G6,M6)</f>
        <v>4000</v>
      </c>
      <c r="R6" s="346">
        <f t="shared" ref="R6:R12" si="3">(N6/L6)*100</f>
        <v>218.46153846153845</v>
      </c>
      <c r="S6" s="346">
        <f t="shared" ref="S6:S12" si="4">SUM(D6,G6,I6,O6)</f>
        <v>4000</v>
      </c>
    </row>
    <row r="7" spans="1:19" ht="20.100000000000001" customHeight="1">
      <c r="A7" s="354" t="s">
        <v>354</v>
      </c>
      <c r="B7" s="354"/>
      <c r="C7" s="354"/>
      <c r="D7" s="354"/>
      <c r="E7" s="354"/>
      <c r="F7" s="354"/>
      <c r="G7" s="36" t="s">
        <v>355</v>
      </c>
      <c r="H7" s="341"/>
      <c r="I7" s="341"/>
      <c r="J7" s="343"/>
      <c r="K7" s="343"/>
      <c r="L7" s="341"/>
      <c r="M7" s="341"/>
      <c r="N7" s="343"/>
      <c r="O7" s="343"/>
      <c r="P7" s="342">
        <f t="shared" si="1"/>
        <v>0</v>
      </c>
      <c r="Q7" s="342">
        <f t="shared" si="2"/>
        <v>0</v>
      </c>
      <c r="R7" s="345" t="e">
        <f t="shared" si="3"/>
        <v>#DIV/0!</v>
      </c>
      <c r="S7" s="345">
        <f t="shared" si="4"/>
        <v>0</v>
      </c>
    </row>
    <row r="8" spans="1:19" ht="20.100000000000001" customHeight="1">
      <c r="A8" s="354" t="s">
        <v>356</v>
      </c>
      <c r="B8" s="354"/>
      <c r="C8" s="354"/>
      <c r="D8" s="354"/>
      <c r="E8" s="354"/>
      <c r="F8" s="354"/>
      <c r="G8" s="97">
        <v>4020</v>
      </c>
      <c r="H8" s="341">
        <v>1289.8</v>
      </c>
      <c r="I8" s="341"/>
      <c r="J8" s="343">
        <f>24+1005+1108+327</f>
        <v>2464</v>
      </c>
      <c r="K8" s="343"/>
      <c r="L8" s="341">
        <v>1000</v>
      </c>
      <c r="M8" s="341"/>
      <c r="N8" s="343">
        <f>24+1005+1108+327</f>
        <v>2464</v>
      </c>
      <c r="O8" s="343"/>
      <c r="P8" s="342">
        <f t="shared" si="1"/>
        <v>1464</v>
      </c>
      <c r="Q8" s="342">
        <f t="shared" si="2"/>
        <v>4020</v>
      </c>
      <c r="R8" s="345">
        <f t="shared" si="3"/>
        <v>246.4</v>
      </c>
      <c r="S8" s="345">
        <f t="shared" si="4"/>
        <v>4020</v>
      </c>
    </row>
    <row r="9" spans="1:19" ht="19.5" customHeight="1">
      <c r="A9" s="354" t="s">
        <v>357</v>
      </c>
      <c r="B9" s="354"/>
      <c r="C9" s="354"/>
      <c r="D9" s="354"/>
      <c r="E9" s="354"/>
      <c r="F9" s="354"/>
      <c r="G9" s="36">
        <v>4030</v>
      </c>
      <c r="H9" s="341">
        <v>314.89999999999998</v>
      </c>
      <c r="I9" s="341"/>
      <c r="J9" s="343">
        <f>60+157+95+64</f>
        <v>376</v>
      </c>
      <c r="K9" s="343"/>
      <c r="L9" s="341">
        <v>300</v>
      </c>
      <c r="M9" s="341"/>
      <c r="N9" s="343">
        <f>60+157+95+64</f>
        <v>376</v>
      </c>
      <c r="O9" s="343"/>
      <c r="P9" s="342">
        <f t="shared" si="1"/>
        <v>76</v>
      </c>
      <c r="Q9" s="342">
        <f t="shared" si="2"/>
        <v>4030</v>
      </c>
      <c r="R9" s="345">
        <f t="shared" si="3"/>
        <v>125.33333333333334</v>
      </c>
      <c r="S9" s="345">
        <f t="shared" si="4"/>
        <v>4030</v>
      </c>
    </row>
    <row r="10" spans="1:19" ht="20.100000000000001" customHeight="1">
      <c r="A10" s="354" t="s">
        <v>358</v>
      </c>
      <c r="B10" s="354"/>
      <c r="C10" s="354"/>
      <c r="D10" s="354"/>
      <c r="E10" s="354"/>
      <c r="F10" s="354"/>
      <c r="G10" s="97">
        <v>4040</v>
      </c>
      <c r="H10" s="341"/>
      <c r="I10" s="341"/>
      <c r="J10" s="343"/>
      <c r="K10" s="343"/>
      <c r="L10" s="341"/>
      <c r="M10" s="341"/>
      <c r="N10" s="343"/>
      <c r="O10" s="343"/>
      <c r="P10" s="342">
        <f t="shared" si="1"/>
        <v>0</v>
      </c>
      <c r="Q10" s="342">
        <f t="shared" si="2"/>
        <v>4040</v>
      </c>
      <c r="R10" s="345" t="e">
        <f t="shared" si="3"/>
        <v>#DIV/0!</v>
      </c>
      <c r="S10" s="345">
        <f t="shared" si="4"/>
        <v>4040</v>
      </c>
    </row>
    <row r="11" spans="1:19" ht="21" customHeight="1">
      <c r="A11" s="354" t="s">
        <v>359</v>
      </c>
      <c r="B11" s="354"/>
      <c r="C11" s="354"/>
      <c r="D11" s="354"/>
      <c r="E11" s="354"/>
      <c r="F11" s="354"/>
      <c r="G11" s="36">
        <v>4050</v>
      </c>
      <c r="H11" s="341"/>
      <c r="I11" s="341"/>
      <c r="J11" s="343"/>
      <c r="K11" s="343"/>
      <c r="L11" s="341"/>
      <c r="M11" s="341"/>
      <c r="N11" s="343"/>
      <c r="O11" s="343"/>
      <c r="P11" s="342">
        <f t="shared" si="1"/>
        <v>0</v>
      </c>
      <c r="Q11" s="342">
        <f t="shared" si="2"/>
        <v>4050</v>
      </c>
      <c r="R11" s="345" t="e">
        <f t="shared" si="3"/>
        <v>#DIV/0!</v>
      </c>
      <c r="S11" s="345">
        <f t="shared" si="4"/>
        <v>4050</v>
      </c>
    </row>
    <row r="12" spans="1:19">
      <c r="A12" s="279" t="s">
        <v>360</v>
      </c>
      <c r="B12" s="280"/>
      <c r="C12" s="280"/>
      <c r="D12" s="280"/>
      <c r="E12" s="280"/>
      <c r="F12" s="281"/>
      <c r="G12" s="36">
        <v>4060</v>
      </c>
      <c r="H12" s="341"/>
      <c r="I12" s="341"/>
      <c r="J12" s="343"/>
      <c r="K12" s="343"/>
      <c r="L12" s="341"/>
      <c r="M12" s="341"/>
      <c r="N12" s="343"/>
      <c r="O12" s="343"/>
      <c r="P12" s="342">
        <f t="shared" si="1"/>
        <v>0</v>
      </c>
      <c r="Q12" s="342">
        <f t="shared" si="2"/>
        <v>4060</v>
      </c>
      <c r="R12" s="345" t="e">
        <f t="shared" si="3"/>
        <v>#DIV/0!</v>
      </c>
      <c r="S12" s="345">
        <f t="shared" si="4"/>
        <v>4060</v>
      </c>
    </row>
    <row r="13" spans="1:19">
      <c r="A13" s="229"/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</row>
    <row r="14" spans="1:19">
      <c r="A14" s="229"/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</row>
    <row r="15" spans="1:19" ht="18.75" customHeight="1">
      <c r="A15" s="340" t="s">
        <v>412</v>
      </c>
      <c r="B15" s="340"/>
      <c r="C15" s="295" t="s">
        <v>152</v>
      </c>
      <c r="D15" s="295"/>
      <c r="E15" s="295"/>
      <c r="F15" s="295"/>
      <c r="G15" s="295"/>
      <c r="H15" s="295"/>
      <c r="I15" s="295"/>
      <c r="J15" s="100"/>
      <c r="K15" s="288"/>
      <c r="L15" s="288"/>
      <c r="M15" s="288"/>
      <c r="N15" s="229"/>
      <c r="O15" s="229"/>
      <c r="P15" s="229"/>
      <c r="Q15" s="229"/>
      <c r="R15" s="229"/>
      <c r="S15" s="229"/>
    </row>
    <row r="16" spans="1:19">
      <c r="A16" s="214" t="s">
        <v>361</v>
      </c>
      <c r="B16" s="214"/>
      <c r="C16" s="268" t="s">
        <v>362</v>
      </c>
      <c r="D16" s="268"/>
      <c r="E16" s="268"/>
      <c r="F16" s="268"/>
      <c r="G16" s="268"/>
      <c r="H16" s="268"/>
      <c r="I16" s="268"/>
      <c r="J16" s="17"/>
      <c r="K16" s="288" t="s">
        <v>413</v>
      </c>
      <c r="L16" s="288"/>
      <c r="M16" s="288"/>
      <c r="N16" s="229"/>
      <c r="O16" s="229"/>
      <c r="P16" s="229"/>
      <c r="Q16" s="229"/>
      <c r="R16" s="229"/>
      <c r="S16" s="229"/>
    </row>
    <row r="17" spans="1:19">
      <c r="A17" s="229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</row>
    <row r="18" spans="1:19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</row>
    <row r="19" spans="1:19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</row>
    <row r="20" spans="1:19">
      <c r="A20" s="229"/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</row>
    <row r="21" spans="1:19">
      <c r="A21" s="229"/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</row>
    <row r="22" spans="1:19" s="2" customFormat="1" ht="19.5" customHeight="1">
      <c r="A22" s="206"/>
      <c r="I22" s="229"/>
    </row>
    <row r="23" spans="1:19">
      <c r="A23" s="347" t="s">
        <v>363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229"/>
      <c r="O23" s="229"/>
      <c r="P23" s="229"/>
      <c r="Q23" s="229"/>
      <c r="R23" s="229"/>
      <c r="S23" s="229"/>
    </row>
    <row r="24" spans="1:19">
      <c r="A24" s="225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9"/>
      <c r="O24" s="229"/>
      <c r="P24" s="229"/>
      <c r="Q24" s="229"/>
      <c r="R24" s="229"/>
      <c r="S24" s="229"/>
    </row>
    <row r="25" spans="1:19">
      <c r="A25" s="32"/>
      <c r="B25" s="208"/>
      <c r="C25" s="208"/>
      <c r="D25" s="208"/>
      <c r="E25" s="208"/>
      <c r="F25" s="208"/>
      <c r="G25" s="208"/>
      <c r="H25" s="208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</row>
    <row r="26" spans="1:19" ht="56.25" customHeight="1">
      <c r="A26" s="351" t="s">
        <v>364</v>
      </c>
      <c r="B26" s="282" t="s">
        <v>365</v>
      </c>
      <c r="C26" s="284"/>
      <c r="D26" s="283"/>
      <c r="E26" s="276" t="s">
        <v>366</v>
      </c>
      <c r="F26" s="276"/>
      <c r="G26" s="302" t="s">
        <v>367</v>
      </c>
      <c r="H26" s="302"/>
      <c r="I26" s="302"/>
      <c r="J26" s="302"/>
      <c r="K26" s="302"/>
      <c r="L26" s="302"/>
      <c r="M26" s="302"/>
      <c r="N26" s="302"/>
      <c r="O26" s="302"/>
      <c r="P26" s="302"/>
      <c r="Q26" s="350" t="s">
        <v>368</v>
      </c>
      <c r="R26" s="350"/>
      <c r="S26" s="350"/>
    </row>
    <row r="27" spans="1:19" ht="67.5" customHeight="1">
      <c r="A27" s="352"/>
      <c r="B27" s="348" t="s">
        <v>173</v>
      </c>
      <c r="C27" s="317" t="s">
        <v>369</v>
      </c>
      <c r="D27" s="309"/>
      <c r="E27" s="276" t="s">
        <v>370</v>
      </c>
      <c r="F27" s="276" t="s">
        <v>35</v>
      </c>
      <c r="G27" s="276" t="s">
        <v>371</v>
      </c>
      <c r="H27" s="276"/>
      <c r="I27" s="276" t="s">
        <v>372</v>
      </c>
      <c r="J27" s="276"/>
      <c r="K27" s="276" t="s">
        <v>373</v>
      </c>
      <c r="L27" s="276"/>
      <c r="M27" s="276" t="s">
        <v>374</v>
      </c>
      <c r="N27" s="276"/>
      <c r="O27" s="276" t="s">
        <v>375</v>
      </c>
      <c r="P27" s="276"/>
      <c r="Q27" s="348" t="s">
        <v>173</v>
      </c>
      <c r="R27" s="317" t="s">
        <v>369</v>
      </c>
      <c r="S27" s="309"/>
    </row>
    <row r="28" spans="1:19" ht="67.5" customHeight="1">
      <c r="A28" s="353"/>
      <c r="B28" s="349"/>
      <c r="C28" s="205" t="s">
        <v>371</v>
      </c>
      <c r="D28" s="205" t="s">
        <v>376</v>
      </c>
      <c r="E28" s="276"/>
      <c r="F28" s="276"/>
      <c r="G28" s="209" t="s">
        <v>370</v>
      </c>
      <c r="H28" s="209" t="s">
        <v>35</v>
      </c>
      <c r="I28" s="209" t="s">
        <v>370</v>
      </c>
      <c r="J28" s="209" t="s">
        <v>35</v>
      </c>
      <c r="K28" s="209" t="s">
        <v>370</v>
      </c>
      <c r="L28" s="209" t="s">
        <v>35</v>
      </c>
      <c r="M28" s="209" t="s">
        <v>370</v>
      </c>
      <c r="N28" s="209" t="s">
        <v>35</v>
      </c>
      <c r="O28" s="209" t="s">
        <v>370</v>
      </c>
      <c r="P28" s="209" t="s">
        <v>35</v>
      </c>
      <c r="Q28" s="349"/>
      <c r="R28" s="205" t="s">
        <v>371</v>
      </c>
      <c r="S28" s="205" t="s">
        <v>376</v>
      </c>
    </row>
    <row r="29" spans="1:19" ht="37.5">
      <c r="A29" s="8" t="s">
        <v>377</v>
      </c>
      <c r="B29" s="223">
        <f>SUM(C29,D29)</f>
        <v>0</v>
      </c>
      <c r="C29" s="98"/>
      <c r="D29" s="98"/>
      <c r="E29" s="98"/>
      <c r="F29" s="98"/>
      <c r="G29" s="51" t="s">
        <v>184</v>
      </c>
      <c r="H29" s="51" t="s">
        <v>184</v>
      </c>
      <c r="I29" s="99"/>
      <c r="J29" s="99"/>
      <c r="K29" s="51" t="s">
        <v>184</v>
      </c>
      <c r="L29" s="51" t="s">
        <v>184</v>
      </c>
      <c r="M29" s="99"/>
      <c r="N29" s="99"/>
      <c r="O29" s="99"/>
      <c r="P29" s="99"/>
      <c r="Q29" s="223">
        <f>SUM(R29,S29)</f>
        <v>0</v>
      </c>
      <c r="R29" s="223">
        <f>SUM(C29,F29,H29,N29)</f>
        <v>0</v>
      </c>
      <c r="S29" s="223">
        <f>SUM(D29,J29,L29,P29)</f>
        <v>0</v>
      </c>
    </row>
    <row r="30" spans="1:19">
      <c r="A30" s="8"/>
      <c r="B30" s="232">
        <f t="shared" ref="B30:B37" si="5">SUM(C30,D30)</f>
        <v>0</v>
      </c>
      <c r="C30" s="98"/>
      <c r="D30" s="98"/>
      <c r="E30" s="98"/>
      <c r="F30" s="98"/>
      <c r="G30" s="51" t="s">
        <v>184</v>
      </c>
      <c r="H30" s="51" t="s">
        <v>184</v>
      </c>
      <c r="I30" s="99"/>
      <c r="J30" s="99"/>
      <c r="K30" s="51" t="s">
        <v>184</v>
      </c>
      <c r="L30" s="51" t="s">
        <v>184</v>
      </c>
      <c r="M30" s="99"/>
      <c r="N30" s="99"/>
      <c r="O30" s="99"/>
      <c r="P30" s="99"/>
      <c r="Q30" s="232">
        <f t="shared" ref="Q30:Q37" si="6">SUM(R30,S30)</f>
        <v>0</v>
      </c>
      <c r="R30" s="232">
        <f t="shared" ref="R30:R36" si="7">SUM(C30,F30,H30,N30)</f>
        <v>0</v>
      </c>
      <c r="S30" s="232">
        <f t="shared" ref="S30:S36" si="8">SUM(D30,J30,L30,P30)</f>
        <v>0</v>
      </c>
    </row>
    <row r="31" spans="1:19">
      <c r="A31" s="8"/>
      <c r="B31" s="232">
        <f t="shared" si="5"/>
        <v>0</v>
      </c>
      <c r="C31" s="98"/>
      <c r="D31" s="98"/>
      <c r="E31" s="98"/>
      <c r="F31" s="98"/>
      <c r="G31" s="51" t="s">
        <v>184</v>
      </c>
      <c r="H31" s="51" t="s">
        <v>184</v>
      </c>
      <c r="I31" s="99"/>
      <c r="J31" s="99"/>
      <c r="K31" s="51" t="s">
        <v>184</v>
      </c>
      <c r="L31" s="51" t="s">
        <v>184</v>
      </c>
      <c r="M31" s="99"/>
      <c r="N31" s="99"/>
      <c r="O31" s="99"/>
      <c r="P31" s="99"/>
      <c r="Q31" s="232">
        <f t="shared" si="6"/>
        <v>0</v>
      </c>
      <c r="R31" s="232">
        <f>SUM(C31,F31,H31,N31)</f>
        <v>0</v>
      </c>
      <c r="S31" s="232">
        <f>SUM(D31,J31,L31,P31)</f>
        <v>0</v>
      </c>
    </row>
    <row r="32" spans="1:19" ht="37.5">
      <c r="A32" s="8" t="s">
        <v>378</v>
      </c>
      <c r="B32" s="223">
        <f t="shared" si="5"/>
        <v>0</v>
      </c>
      <c r="C32" s="98"/>
      <c r="D32" s="98"/>
      <c r="E32" s="98"/>
      <c r="F32" s="98"/>
      <c r="G32" s="51" t="s">
        <v>184</v>
      </c>
      <c r="H32" s="51" t="s">
        <v>184</v>
      </c>
      <c r="I32" s="99"/>
      <c r="J32" s="99"/>
      <c r="K32" s="51" t="s">
        <v>184</v>
      </c>
      <c r="L32" s="51" t="s">
        <v>184</v>
      </c>
      <c r="M32" s="99"/>
      <c r="N32" s="99"/>
      <c r="O32" s="99"/>
      <c r="P32" s="99"/>
      <c r="Q32" s="223">
        <f t="shared" si="6"/>
        <v>0</v>
      </c>
      <c r="R32" s="223">
        <f t="shared" si="7"/>
        <v>0</v>
      </c>
      <c r="S32" s="223">
        <f t="shared" si="8"/>
        <v>0</v>
      </c>
    </row>
    <row r="33" spans="1:19">
      <c r="A33" s="8"/>
      <c r="B33" s="232">
        <f t="shared" si="5"/>
        <v>0</v>
      </c>
      <c r="C33" s="98"/>
      <c r="D33" s="98"/>
      <c r="E33" s="98"/>
      <c r="F33" s="98"/>
      <c r="G33" s="51" t="s">
        <v>184</v>
      </c>
      <c r="H33" s="51" t="s">
        <v>184</v>
      </c>
      <c r="I33" s="99"/>
      <c r="J33" s="99"/>
      <c r="K33" s="51" t="s">
        <v>184</v>
      </c>
      <c r="L33" s="51" t="s">
        <v>184</v>
      </c>
      <c r="M33" s="99"/>
      <c r="N33" s="99"/>
      <c r="O33" s="99"/>
      <c r="P33" s="99"/>
      <c r="Q33" s="232">
        <f t="shared" si="6"/>
        <v>0</v>
      </c>
      <c r="R33" s="232">
        <f t="shared" si="7"/>
        <v>0</v>
      </c>
      <c r="S33" s="232">
        <f t="shared" si="8"/>
        <v>0</v>
      </c>
    </row>
    <row r="34" spans="1:19">
      <c r="A34" s="8"/>
      <c r="B34" s="232">
        <f t="shared" si="5"/>
        <v>0</v>
      </c>
      <c r="C34" s="98"/>
      <c r="D34" s="98"/>
      <c r="E34" s="98"/>
      <c r="F34" s="98"/>
      <c r="G34" s="51" t="s">
        <v>184</v>
      </c>
      <c r="H34" s="51" t="s">
        <v>184</v>
      </c>
      <c r="I34" s="99"/>
      <c r="J34" s="99"/>
      <c r="K34" s="51" t="s">
        <v>184</v>
      </c>
      <c r="L34" s="51" t="s">
        <v>184</v>
      </c>
      <c r="M34" s="99"/>
      <c r="N34" s="99"/>
      <c r="O34" s="99"/>
      <c r="P34" s="99"/>
      <c r="Q34" s="232">
        <f t="shared" si="6"/>
        <v>0</v>
      </c>
      <c r="R34" s="232">
        <f>SUM(C34,F34,H34,N34)</f>
        <v>0</v>
      </c>
      <c r="S34" s="232">
        <f>SUM(D34,J34,L34,P34)</f>
        <v>0</v>
      </c>
    </row>
    <row r="35" spans="1:19" ht="37.5">
      <c r="A35" s="8" t="s">
        <v>379</v>
      </c>
      <c r="B35" s="223">
        <f t="shared" si="5"/>
        <v>0</v>
      </c>
      <c r="C35" s="98"/>
      <c r="D35" s="98"/>
      <c r="E35" s="98"/>
      <c r="F35" s="98"/>
      <c r="G35" s="51" t="s">
        <v>184</v>
      </c>
      <c r="H35" s="51" t="s">
        <v>184</v>
      </c>
      <c r="I35" s="99"/>
      <c r="J35" s="99"/>
      <c r="K35" s="51" t="s">
        <v>184</v>
      </c>
      <c r="L35" s="51" t="s">
        <v>184</v>
      </c>
      <c r="M35" s="99"/>
      <c r="N35" s="99"/>
      <c r="O35" s="99"/>
      <c r="P35" s="99"/>
      <c r="Q35" s="223">
        <f t="shared" si="6"/>
        <v>0</v>
      </c>
      <c r="R35" s="223">
        <f t="shared" si="7"/>
        <v>0</v>
      </c>
      <c r="S35" s="223">
        <f t="shared" si="8"/>
        <v>0</v>
      </c>
    </row>
    <row r="36" spans="1:19">
      <c r="A36" s="8"/>
      <c r="B36" s="232">
        <f t="shared" si="5"/>
        <v>0</v>
      </c>
      <c r="C36" s="98"/>
      <c r="D36" s="98"/>
      <c r="E36" s="98"/>
      <c r="F36" s="98"/>
      <c r="G36" s="51" t="s">
        <v>184</v>
      </c>
      <c r="H36" s="51" t="s">
        <v>184</v>
      </c>
      <c r="I36" s="99"/>
      <c r="J36" s="99"/>
      <c r="K36" s="51" t="s">
        <v>184</v>
      </c>
      <c r="L36" s="51" t="s">
        <v>184</v>
      </c>
      <c r="M36" s="99"/>
      <c r="N36" s="99"/>
      <c r="O36" s="99"/>
      <c r="P36" s="99"/>
      <c r="Q36" s="232">
        <f t="shared" si="6"/>
        <v>0</v>
      </c>
      <c r="R36" s="232">
        <f t="shared" si="7"/>
        <v>0</v>
      </c>
      <c r="S36" s="232">
        <f t="shared" si="8"/>
        <v>0</v>
      </c>
    </row>
    <row r="37" spans="1:19">
      <c r="A37" s="8"/>
      <c r="B37" s="232">
        <f t="shared" si="5"/>
        <v>0</v>
      </c>
      <c r="C37" s="98"/>
      <c r="D37" s="98"/>
      <c r="E37" s="98"/>
      <c r="F37" s="98"/>
      <c r="G37" s="51" t="s">
        <v>184</v>
      </c>
      <c r="H37" s="51" t="s">
        <v>184</v>
      </c>
      <c r="I37" s="99"/>
      <c r="J37" s="99"/>
      <c r="K37" s="51" t="s">
        <v>184</v>
      </c>
      <c r="L37" s="51" t="s">
        <v>184</v>
      </c>
      <c r="M37" s="99"/>
      <c r="N37" s="99"/>
      <c r="O37" s="99"/>
      <c r="P37" s="99"/>
      <c r="Q37" s="232">
        <f t="shared" si="6"/>
        <v>0</v>
      </c>
      <c r="R37" s="232">
        <f>SUM(C37,F37,H37,N37)</f>
        <v>0</v>
      </c>
      <c r="S37" s="232">
        <f>SUM(D37,J37,L37,P37)</f>
        <v>0</v>
      </c>
    </row>
    <row r="38" spans="1:19">
      <c r="A38" s="8" t="s">
        <v>173</v>
      </c>
      <c r="B38" s="223">
        <f>SUM(B29,B32,B35)</f>
        <v>0</v>
      </c>
      <c r="C38" s="223">
        <f t="shared" ref="C38:S38" si="9">SUM(C29,C32,C35)</f>
        <v>0</v>
      </c>
      <c r="D38" s="223">
        <f t="shared" si="9"/>
        <v>0</v>
      </c>
      <c r="E38" s="223">
        <f t="shared" si="9"/>
        <v>0</v>
      </c>
      <c r="F38" s="223">
        <f t="shared" si="9"/>
        <v>0</v>
      </c>
      <c r="G38" s="223">
        <f t="shared" si="9"/>
        <v>0</v>
      </c>
      <c r="H38" s="223">
        <f t="shared" si="9"/>
        <v>0</v>
      </c>
      <c r="I38" s="223">
        <f t="shared" si="9"/>
        <v>0</v>
      </c>
      <c r="J38" s="223">
        <f t="shared" si="9"/>
        <v>0</v>
      </c>
      <c r="K38" s="223">
        <f t="shared" si="9"/>
        <v>0</v>
      </c>
      <c r="L38" s="223">
        <f t="shared" si="9"/>
        <v>0</v>
      </c>
      <c r="M38" s="223">
        <f t="shared" si="9"/>
        <v>0</v>
      </c>
      <c r="N38" s="223">
        <f t="shared" si="9"/>
        <v>0</v>
      </c>
      <c r="O38" s="223">
        <f t="shared" si="9"/>
        <v>0</v>
      </c>
      <c r="P38" s="223">
        <f t="shared" si="9"/>
        <v>0</v>
      </c>
      <c r="Q38" s="223">
        <f t="shared" si="9"/>
        <v>0</v>
      </c>
      <c r="R38" s="223">
        <f t="shared" si="9"/>
        <v>0</v>
      </c>
      <c r="S38" s="223">
        <f t="shared" si="9"/>
        <v>0</v>
      </c>
    </row>
    <row r="39" spans="1:19">
      <c r="A39" s="32"/>
      <c r="B39" s="208"/>
      <c r="C39" s="208"/>
      <c r="D39" s="208"/>
      <c r="E39" s="208"/>
      <c r="F39" s="208"/>
      <c r="G39" s="208"/>
      <c r="H39" s="208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</row>
    <row r="40" spans="1:19">
      <c r="A40" s="32"/>
      <c r="B40" s="208"/>
      <c r="C40" s="208"/>
      <c r="D40" s="208"/>
      <c r="E40" s="208"/>
      <c r="F40" s="208"/>
      <c r="G40" s="208"/>
      <c r="H40" s="208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</row>
    <row r="41" spans="1:19">
      <c r="A41" s="339" t="s">
        <v>412</v>
      </c>
      <c r="B41" s="339"/>
      <c r="C41" s="295" t="s">
        <v>152</v>
      </c>
      <c r="D41" s="295"/>
      <c r="E41" s="295"/>
      <c r="F41" s="295"/>
      <c r="G41" s="295"/>
      <c r="H41" s="295"/>
      <c r="I41" s="295"/>
      <c r="J41" s="100"/>
      <c r="K41" s="288"/>
      <c r="L41" s="288"/>
      <c r="M41" s="288"/>
      <c r="N41" s="229"/>
      <c r="O41" s="229"/>
      <c r="P41" s="229"/>
      <c r="Q41" s="229"/>
      <c r="R41" s="229"/>
      <c r="S41" s="229"/>
    </row>
    <row r="42" spans="1:19">
      <c r="A42" s="214" t="s">
        <v>361</v>
      </c>
      <c r="B42" s="214"/>
      <c r="C42" s="268" t="s">
        <v>362</v>
      </c>
      <c r="D42" s="268"/>
      <c r="E42" s="268"/>
      <c r="F42" s="268"/>
      <c r="G42" s="268"/>
      <c r="H42" s="268"/>
      <c r="I42" s="268"/>
      <c r="J42" s="17"/>
      <c r="K42" s="288" t="s">
        <v>413</v>
      </c>
      <c r="L42" s="288"/>
      <c r="M42" s="288"/>
      <c r="N42" s="229"/>
      <c r="O42" s="229"/>
      <c r="P42" s="229"/>
      <c r="Q42" s="229"/>
      <c r="R42" s="229"/>
      <c r="S42" s="229"/>
    </row>
    <row r="43" spans="1:19">
      <c r="A43" s="32"/>
      <c r="B43" s="208"/>
      <c r="C43" s="208"/>
      <c r="D43" s="208"/>
      <c r="E43" s="208"/>
      <c r="F43" s="208"/>
      <c r="G43" s="208"/>
      <c r="H43" s="208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</row>
    <row r="44" spans="1:19">
      <c r="A44" s="32"/>
      <c r="B44" s="208"/>
      <c r="C44" s="208"/>
      <c r="D44" s="208"/>
      <c r="E44" s="208"/>
      <c r="F44" s="208"/>
      <c r="G44" s="208"/>
      <c r="H44" s="208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</row>
    <row r="45" spans="1:19">
      <c r="A45" s="32"/>
      <c r="B45" s="208"/>
      <c r="C45" s="208"/>
      <c r="D45" s="208"/>
      <c r="E45" s="208"/>
      <c r="F45" s="208"/>
      <c r="G45" s="208"/>
      <c r="H45" s="208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</row>
    <row r="46" spans="1:19">
      <c r="A46" s="32"/>
      <c r="B46" s="208"/>
      <c r="C46" s="208"/>
      <c r="D46" s="208"/>
      <c r="E46" s="208"/>
      <c r="F46" s="208"/>
      <c r="G46" s="208"/>
      <c r="H46" s="208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</row>
    <row r="47" spans="1:19">
      <c r="A47" s="32"/>
      <c r="B47" s="208"/>
      <c r="C47" s="208"/>
      <c r="D47" s="208"/>
      <c r="E47" s="208"/>
      <c r="F47" s="208"/>
      <c r="G47" s="208"/>
      <c r="H47" s="208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</row>
    <row r="48" spans="1:19">
      <c r="A48" s="32"/>
      <c r="B48" s="208"/>
      <c r="C48" s="208"/>
      <c r="D48" s="208"/>
      <c r="E48" s="208"/>
      <c r="F48" s="208"/>
      <c r="G48" s="208"/>
      <c r="H48" s="208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5"/>
  <sheetViews>
    <sheetView view="pageBreakPreview" zoomScale="60" zoomScaleNormal="54" workbookViewId="0">
      <selection activeCell="R23" sqref="R23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O1" s="18"/>
      <c r="P1" s="18"/>
      <c r="Q1" s="18"/>
      <c r="R1" s="18"/>
      <c r="S1" s="18"/>
      <c r="AC1" s="18"/>
    </row>
    <row r="2" spans="1:29" ht="16.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O2" s="18"/>
      <c r="P2" s="18"/>
      <c r="Q2" s="18"/>
      <c r="R2" s="18"/>
      <c r="S2" s="18"/>
      <c r="AC2" s="18"/>
    </row>
    <row r="3" spans="1:29" s="24" customFormat="1" ht="18.75" customHeight="1">
      <c r="A3" s="210"/>
      <c r="B3" s="210"/>
      <c r="C3" s="210" t="s">
        <v>380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</row>
    <row r="4" spans="1:29" s="24" customFormat="1" ht="18.75" customHeight="1">
      <c r="A4" s="210"/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73"/>
      <c r="X5" s="373"/>
      <c r="Y5" s="373"/>
      <c r="AA5" s="386" t="s">
        <v>381</v>
      </c>
      <c r="AB5" s="386"/>
      <c r="AC5" s="386"/>
    </row>
    <row r="6" spans="1:29" ht="24.95" customHeight="1">
      <c r="A6" s="374" t="s">
        <v>382</v>
      </c>
      <c r="B6" s="380" t="s">
        <v>383</v>
      </c>
      <c r="C6" s="381"/>
      <c r="D6" s="381"/>
      <c r="E6" s="381"/>
      <c r="F6" s="381"/>
      <c r="G6" s="381"/>
      <c r="H6" s="381"/>
      <c r="I6" s="381"/>
      <c r="J6" s="377" t="s">
        <v>384</v>
      </c>
      <c r="K6" s="378"/>
      <c r="L6" s="378"/>
      <c r="M6" s="379"/>
      <c r="N6" s="377" t="s">
        <v>385</v>
      </c>
      <c r="O6" s="378"/>
      <c r="P6" s="378"/>
      <c r="Q6" s="379"/>
      <c r="R6" s="377" t="s">
        <v>386</v>
      </c>
      <c r="S6" s="378"/>
      <c r="T6" s="378"/>
      <c r="U6" s="379"/>
      <c r="V6" s="377" t="s">
        <v>387</v>
      </c>
      <c r="W6" s="378"/>
      <c r="X6" s="378"/>
      <c r="Y6" s="379"/>
      <c r="Z6" s="377" t="s">
        <v>173</v>
      </c>
      <c r="AA6" s="378"/>
      <c r="AB6" s="378"/>
      <c r="AC6" s="379"/>
    </row>
    <row r="7" spans="1:29" ht="24.95" customHeight="1">
      <c r="A7" s="375"/>
      <c r="B7" s="382"/>
      <c r="C7" s="383"/>
      <c r="D7" s="383"/>
      <c r="E7" s="383"/>
      <c r="F7" s="383"/>
      <c r="G7" s="383"/>
      <c r="H7" s="383"/>
      <c r="I7" s="383"/>
      <c r="J7" s="361" t="s">
        <v>370</v>
      </c>
      <c r="K7" s="361" t="s">
        <v>35</v>
      </c>
      <c r="L7" s="361" t="s">
        <v>36</v>
      </c>
      <c r="M7" s="361" t="s">
        <v>37</v>
      </c>
      <c r="N7" s="361" t="s">
        <v>370</v>
      </c>
      <c r="O7" s="361" t="s">
        <v>35</v>
      </c>
      <c r="P7" s="361" t="s">
        <v>36</v>
      </c>
      <c r="Q7" s="361" t="s">
        <v>37</v>
      </c>
      <c r="R7" s="361" t="s">
        <v>370</v>
      </c>
      <c r="S7" s="361" t="s">
        <v>35</v>
      </c>
      <c r="T7" s="361" t="s">
        <v>36</v>
      </c>
      <c r="U7" s="361" t="s">
        <v>37</v>
      </c>
      <c r="V7" s="361" t="s">
        <v>370</v>
      </c>
      <c r="W7" s="361" t="s">
        <v>35</v>
      </c>
      <c r="X7" s="361" t="s">
        <v>36</v>
      </c>
      <c r="Y7" s="361" t="s">
        <v>37</v>
      </c>
      <c r="Z7" s="361" t="s">
        <v>370</v>
      </c>
      <c r="AA7" s="361" t="s">
        <v>35</v>
      </c>
      <c r="AB7" s="361" t="s">
        <v>36</v>
      </c>
      <c r="AC7" s="361" t="s">
        <v>37</v>
      </c>
    </row>
    <row r="8" spans="1:29" ht="24.95" customHeight="1">
      <c r="A8" s="376"/>
      <c r="B8" s="384"/>
      <c r="C8" s="385"/>
      <c r="D8" s="385"/>
      <c r="E8" s="385"/>
      <c r="F8" s="385"/>
      <c r="G8" s="385"/>
      <c r="H8" s="385"/>
      <c r="I8" s="385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</row>
    <row r="9" spans="1:29" ht="18.75" customHeight="1">
      <c r="A9" s="230">
        <v>1</v>
      </c>
      <c r="B9" s="359">
        <v>2</v>
      </c>
      <c r="C9" s="359"/>
      <c r="D9" s="359"/>
      <c r="E9" s="359"/>
      <c r="F9" s="359"/>
      <c r="G9" s="359"/>
      <c r="H9" s="359"/>
      <c r="I9" s="359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/>
      <c r="B10" s="367" t="s">
        <v>388</v>
      </c>
      <c r="C10" s="367"/>
      <c r="D10" s="367"/>
      <c r="E10" s="367"/>
      <c r="F10" s="367"/>
      <c r="G10" s="367"/>
      <c r="H10" s="367"/>
      <c r="I10" s="367"/>
      <c r="J10" s="52"/>
      <c r="K10" s="52"/>
      <c r="L10" s="52">
        <f t="shared" ref="L10:L15" si="0">K10-J10</f>
        <v>0</v>
      </c>
      <c r="M10" s="76" t="e">
        <f t="shared" ref="M10:M16" si="1">K10/J10*100</f>
        <v>#DIV/0!</v>
      </c>
      <c r="N10" s="52"/>
      <c r="O10" s="52"/>
      <c r="P10" s="52">
        <f t="shared" ref="P10:P15" si="2">O10-N10</f>
        <v>0</v>
      </c>
      <c r="Q10" s="76" t="e">
        <f t="shared" ref="Q10:Q16" si="3">O10/N10*100</f>
        <v>#DIV/0!</v>
      </c>
      <c r="R10" s="52"/>
      <c r="S10" s="52"/>
      <c r="T10" s="52">
        <f t="shared" ref="T10:T15" si="4">S10-R10</f>
        <v>0</v>
      </c>
      <c r="U10" s="76" t="e">
        <f t="shared" ref="U10:U16" si="5">S10/R10*100</f>
        <v>#DIV/0!</v>
      </c>
      <c r="V10" s="52"/>
      <c r="W10" s="52"/>
      <c r="X10" s="52">
        <f t="shared" ref="X10:X15" si="6">W10-V10</f>
        <v>0</v>
      </c>
      <c r="Y10" s="76" t="e">
        <f t="shared" ref="Y10:Y16" si="7">W10/V10*100</f>
        <v>#DIV/0!</v>
      </c>
      <c r="Z10" s="223">
        <f t="shared" ref="Z10:AA15" si="8">SUM(J10,N10,R10,V10)</f>
        <v>0</v>
      </c>
      <c r="AA10" s="223">
        <f t="shared" si="8"/>
        <v>0</v>
      </c>
      <c r="AB10" s="52">
        <f t="shared" ref="AB10:AB15" si="9">AA10-Z10</f>
        <v>0</v>
      </c>
      <c r="AC10" s="76" t="e">
        <f t="shared" ref="AC10:AC16" si="10">AA10/Z10*100</f>
        <v>#DIV/0!</v>
      </c>
    </row>
    <row r="11" spans="1:29" ht="183" customHeight="1">
      <c r="A11" s="48"/>
      <c r="B11" s="367" t="s">
        <v>437</v>
      </c>
      <c r="C11" s="367"/>
      <c r="D11" s="367"/>
      <c r="E11" s="367"/>
      <c r="F11" s="367"/>
      <c r="G11" s="367"/>
      <c r="H11" s="367"/>
      <c r="I11" s="367"/>
      <c r="J11" s="52"/>
      <c r="K11" s="52"/>
      <c r="L11" s="52">
        <f t="shared" si="0"/>
        <v>0</v>
      </c>
      <c r="M11" s="76" t="e">
        <f t="shared" si="1"/>
        <v>#DIV/0!</v>
      </c>
      <c r="N11" s="52">
        <v>1000</v>
      </c>
      <c r="O11" s="52">
        <v>1064</v>
      </c>
      <c r="P11" s="52">
        <f t="shared" si="2"/>
        <v>64</v>
      </c>
      <c r="Q11" s="76">
        <f t="shared" si="3"/>
        <v>106.4</v>
      </c>
      <c r="R11" s="52"/>
      <c r="S11" s="52">
        <v>406</v>
      </c>
      <c r="T11" s="52">
        <f t="shared" si="4"/>
        <v>406</v>
      </c>
      <c r="U11" s="76" t="e">
        <f t="shared" si="5"/>
        <v>#DIV/0!</v>
      </c>
      <c r="V11" s="52"/>
      <c r="W11" s="52">
        <v>994</v>
      </c>
      <c r="X11" s="52">
        <f t="shared" si="6"/>
        <v>994</v>
      </c>
      <c r="Y11" s="76" t="e">
        <f t="shared" si="7"/>
        <v>#DIV/0!</v>
      </c>
      <c r="Z11" s="223">
        <f t="shared" si="8"/>
        <v>1000</v>
      </c>
      <c r="AA11" s="223">
        <f t="shared" si="8"/>
        <v>2464</v>
      </c>
      <c r="AB11" s="52">
        <f t="shared" si="9"/>
        <v>1464</v>
      </c>
      <c r="AC11" s="76">
        <f t="shared" si="10"/>
        <v>246.4</v>
      </c>
    </row>
    <row r="12" spans="1:29" ht="170.25" customHeight="1">
      <c r="A12" s="48"/>
      <c r="B12" s="367" t="s">
        <v>438</v>
      </c>
      <c r="C12" s="367"/>
      <c r="D12" s="367"/>
      <c r="E12" s="367"/>
      <c r="F12" s="367"/>
      <c r="G12" s="367"/>
      <c r="H12" s="367"/>
      <c r="I12" s="367"/>
      <c r="J12" s="52"/>
      <c r="K12" s="52"/>
      <c r="L12" s="52">
        <f t="shared" si="0"/>
        <v>0</v>
      </c>
      <c r="M12" s="76" t="e">
        <f t="shared" si="1"/>
        <v>#DIV/0!</v>
      </c>
      <c r="N12" s="52"/>
      <c r="O12" s="52"/>
      <c r="P12" s="52">
        <f t="shared" si="2"/>
        <v>0</v>
      </c>
      <c r="Q12" s="76" t="e">
        <f t="shared" si="3"/>
        <v>#DIV/0!</v>
      </c>
      <c r="R12" s="258">
        <v>300</v>
      </c>
      <c r="S12" s="258">
        <v>364</v>
      </c>
      <c r="T12" s="52">
        <f t="shared" si="4"/>
        <v>64</v>
      </c>
      <c r="U12" s="76">
        <f t="shared" si="5"/>
        <v>121.33333333333334</v>
      </c>
      <c r="V12" s="52"/>
      <c r="W12" s="258">
        <v>12</v>
      </c>
      <c r="X12" s="52">
        <f t="shared" si="6"/>
        <v>12</v>
      </c>
      <c r="Y12" s="76" t="e">
        <f t="shared" si="7"/>
        <v>#DIV/0!</v>
      </c>
      <c r="Z12" s="223">
        <f t="shared" si="8"/>
        <v>300</v>
      </c>
      <c r="AA12" s="223">
        <f t="shared" si="8"/>
        <v>376</v>
      </c>
      <c r="AB12" s="52">
        <f t="shared" si="9"/>
        <v>76</v>
      </c>
      <c r="AC12" s="76">
        <f t="shared" si="10"/>
        <v>125.33333333333334</v>
      </c>
    </row>
    <row r="13" spans="1:29" ht="42" customHeight="1">
      <c r="A13" s="48"/>
      <c r="B13" s="363" t="s">
        <v>389</v>
      </c>
      <c r="C13" s="364"/>
      <c r="D13" s="364"/>
      <c r="E13" s="364"/>
      <c r="F13" s="364"/>
      <c r="G13" s="364"/>
      <c r="H13" s="364"/>
      <c r="I13" s="364"/>
      <c r="J13" s="52"/>
      <c r="K13" s="52"/>
      <c r="L13" s="52">
        <f t="shared" si="0"/>
        <v>0</v>
      </c>
      <c r="M13" s="76" t="e">
        <f t="shared" si="1"/>
        <v>#DIV/0!</v>
      </c>
      <c r="N13" s="52"/>
      <c r="O13" s="52"/>
      <c r="P13" s="52">
        <f t="shared" si="2"/>
        <v>0</v>
      </c>
      <c r="Q13" s="76" t="e">
        <f t="shared" si="3"/>
        <v>#DIV/0!</v>
      </c>
      <c r="R13" s="52"/>
      <c r="S13" s="52"/>
      <c r="T13" s="52">
        <f t="shared" si="4"/>
        <v>0</v>
      </c>
      <c r="U13" s="76" t="e">
        <f t="shared" si="5"/>
        <v>#DIV/0!</v>
      </c>
      <c r="V13" s="52"/>
      <c r="W13" s="52"/>
      <c r="X13" s="52">
        <f t="shared" si="6"/>
        <v>0</v>
      </c>
      <c r="Y13" s="76" t="e">
        <f t="shared" si="7"/>
        <v>#DIV/0!</v>
      </c>
      <c r="Z13" s="223">
        <f t="shared" si="8"/>
        <v>0</v>
      </c>
      <c r="AA13" s="223">
        <f t="shared" si="8"/>
        <v>0</v>
      </c>
      <c r="AB13" s="52">
        <f t="shared" si="9"/>
        <v>0</v>
      </c>
      <c r="AC13" s="76" t="e">
        <f t="shared" si="10"/>
        <v>#DIV/0!</v>
      </c>
    </row>
    <row r="14" spans="1:29" ht="37.5" customHeight="1">
      <c r="A14" s="48"/>
      <c r="B14" s="363" t="s">
        <v>390</v>
      </c>
      <c r="C14" s="364"/>
      <c r="D14" s="364"/>
      <c r="E14" s="364"/>
      <c r="F14" s="364"/>
      <c r="G14" s="364"/>
      <c r="H14" s="364"/>
      <c r="I14" s="364"/>
      <c r="J14" s="52"/>
      <c r="K14" s="52"/>
      <c r="L14" s="52">
        <f t="shared" si="0"/>
        <v>0</v>
      </c>
      <c r="M14" s="76" t="e">
        <f t="shared" si="1"/>
        <v>#DIV/0!</v>
      </c>
      <c r="N14" s="52"/>
      <c r="O14" s="52"/>
      <c r="P14" s="52">
        <f t="shared" si="2"/>
        <v>0</v>
      </c>
      <c r="Q14" s="76" t="e">
        <f t="shared" si="3"/>
        <v>#DIV/0!</v>
      </c>
      <c r="R14" s="52"/>
      <c r="S14" s="52"/>
      <c r="T14" s="52">
        <f t="shared" si="4"/>
        <v>0</v>
      </c>
      <c r="U14" s="76" t="e">
        <f t="shared" si="5"/>
        <v>#DIV/0!</v>
      </c>
      <c r="V14" s="52"/>
      <c r="W14" s="52"/>
      <c r="X14" s="52">
        <f t="shared" si="6"/>
        <v>0</v>
      </c>
      <c r="Y14" s="76" t="e">
        <f t="shared" si="7"/>
        <v>#DIV/0!</v>
      </c>
      <c r="Z14" s="223">
        <f t="shared" si="8"/>
        <v>0</v>
      </c>
      <c r="AA14" s="223">
        <f t="shared" si="8"/>
        <v>0</v>
      </c>
      <c r="AB14" s="52">
        <f t="shared" si="9"/>
        <v>0</v>
      </c>
      <c r="AC14" s="76" t="e">
        <f t="shared" si="10"/>
        <v>#DIV/0!</v>
      </c>
    </row>
    <row r="15" spans="1:29" ht="20.100000000000001" customHeight="1">
      <c r="A15" s="48"/>
      <c r="B15" s="367" t="s">
        <v>360</v>
      </c>
      <c r="C15" s="367"/>
      <c r="D15" s="367"/>
      <c r="E15" s="367"/>
      <c r="F15" s="367"/>
      <c r="G15" s="367"/>
      <c r="H15" s="367"/>
      <c r="I15" s="367"/>
      <c r="J15" s="52"/>
      <c r="K15" s="52"/>
      <c r="L15" s="52">
        <f t="shared" si="0"/>
        <v>0</v>
      </c>
      <c r="M15" s="76" t="e">
        <f t="shared" si="1"/>
        <v>#DIV/0!</v>
      </c>
      <c r="N15" s="52"/>
      <c r="O15" s="52"/>
      <c r="P15" s="52">
        <f t="shared" si="2"/>
        <v>0</v>
      </c>
      <c r="Q15" s="76" t="e">
        <f t="shared" si="3"/>
        <v>#DIV/0!</v>
      </c>
      <c r="R15" s="52"/>
      <c r="S15" s="52"/>
      <c r="T15" s="52">
        <f t="shared" si="4"/>
        <v>0</v>
      </c>
      <c r="U15" s="76" t="e">
        <f t="shared" si="5"/>
        <v>#DIV/0!</v>
      </c>
      <c r="V15" s="52"/>
      <c r="W15" s="52"/>
      <c r="X15" s="52">
        <f t="shared" si="6"/>
        <v>0</v>
      </c>
      <c r="Y15" s="76" t="e">
        <f t="shared" si="7"/>
        <v>#DIV/0!</v>
      </c>
      <c r="Z15" s="223">
        <f t="shared" si="8"/>
        <v>0</v>
      </c>
      <c r="AA15" s="223">
        <f t="shared" si="8"/>
        <v>0</v>
      </c>
      <c r="AB15" s="52">
        <f t="shared" si="9"/>
        <v>0</v>
      </c>
      <c r="AC15" s="76" t="e">
        <f t="shared" si="10"/>
        <v>#DIV/0!</v>
      </c>
    </row>
    <row r="16" spans="1:29" ht="24.95" customHeight="1">
      <c r="A16" s="365" t="s">
        <v>173</v>
      </c>
      <c r="B16" s="366"/>
      <c r="C16" s="366"/>
      <c r="D16" s="366"/>
      <c r="E16" s="366"/>
      <c r="F16" s="366"/>
      <c r="G16" s="366"/>
      <c r="H16" s="366"/>
      <c r="I16" s="366"/>
      <c r="J16" s="232">
        <f t="shared" ref="J16:AA16" si="11">SUM(J10:J15)</f>
        <v>0</v>
      </c>
      <c r="K16" s="232">
        <f t="shared" si="11"/>
        <v>0</v>
      </c>
      <c r="L16" s="66">
        <f>SUM(L10:L15)</f>
        <v>0</v>
      </c>
      <c r="M16" s="77" t="e">
        <f t="shared" si="1"/>
        <v>#DIV/0!</v>
      </c>
      <c r="N16" s="232">
        <f t="shared" si="11"/>
        <v>1000</v>
      </c>
      <c r="O16" s="232">
        <f t="shared" si="11"/>
        <v>1064</v>
      </c>
      <c r="P16" s="66">
        <f>SUM(P10:P15)</f>
        <v>64</v>
      </c>
      <c r="Q16" s="77">
        <f t="shared" si="3"/>
        <v>106.4</v>
      </c>
      <c r="R16" s="232">
        <f t="shared" si="11"/>
        <v>300</v>
      </c>
      <c r="S16" s="232">
        <f t="shared" si="11"/>
        <v>770</v>
      </c>
      <c r="T16" s="66">
        <f>SUM(T10:T15)</f>
        <v>470</v>
      </c>
      <c r="U16" s="77">
        <f t="shared" si="5"/>
        <v>256.66666666666669</v>
      </c>
      <c r="V16" s="232">
        <f t="shared" si="11"/>
        <v>0</v>
      </c>
      <c r="W16" s="232">
        <f t="shared" si="11"/>
        <v>1006</v>
      </c>
      <c r="X16" s="66">
        <f>SUM(X10:X15)</f>
        <v>1006</v>
      </c>
      <c r="Y16" s="77" t="e">
        <f t="shared" si="7"/>
        <v>#DIV/0!</v>
      </c>
      <c r="Z16" s="232">
        <f t="shared" si="11"/>
        <v>1300</v>
      </c>
      <c r="AA16" s="232">
        <f t="shared" si="11"/>
        <v>2840</v>
      </c>
      <c r="AB16" s="66">
        <f>SUM(AB10:AB15)</f>
        <v>1540</v>
      </c>
      <c r="AC16" s="77">
        <f t="shared" si="10"/>
        <v>218.46153846153845</v>
      </c>
    </row>
    <row r="17" spans="1:32" ht="24.95" customHeight="1">
      <c r="A17" s="363" t="s">
        <v>391</v>
      </c>
      <c r="B17" s="364"/>
      <c r="C17" s="364"/>
      <c r="D17" s="364"/>
      <c r="E17" s="364"/>
      <c r="F17" s="364"/>
      <c r="G17" s="364"/>
      <c r="H17" s="364"/>
      <c r="I17" s="364"/>
      <c r="J17" s="224">
        <f>J16/Z16*100</f>
        <v>0</v>
      </c>
      <c r="K17" s="224">
        <f>K16/AA16*100</f>
        <v>0</v>
      </c>
      <c r="L17" s="46"/>
      <c r="M17" s="46"/>
      <c r="N17" s="224">
        <f>N16/Z16*100</f>
        <v>76.923076923076934</v>
      </c>
      <c r="O17" s="224">
        <f>O16/AA16*100</f>
        <v>37.464788732394368</v>
      </c>
      <c r="P17" s="46"/>
      <c r="Q17" s="46"/>
      <c r="R17" s="224">
        <f>R16/Z16*100</f>
        <v>23.076923076923077</v>
      </c>
      <c r="S17" s="224">
        <f>S16/AA16*100</f>
        <v>27.112676056338032</v>
      </c>
      <c r="T17" s="46"/>
      <c r="U17" s="46"/>
      <c r="V17" s="224">
        <f>V16/Z16*100</f>
        <v>0</v>
      </c>
      <c r="W17" s="224">
        <f>W16/AA16*100</f>
        <v>35.422535211267608</v>
      </c>
      <c r="X17" s="46"/>
      <c r="Y17" s="46"/>
      <c r="Z17" s="224">
        <f>SUM(J17,N17,R17,V17)</f>
        <v>100.00000000000001</v>
      </c>
      <c r="AA17" s="224">
        <f>SUM(K17,O17,S17,W17)</f>
        <v>100</v>
      </c>
      <c r="AB17" s="46"/>
      <c r="AC17" s="46"/>
    </row>
    <row r="18" spans="1:32" ht="15" customHeight="1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20.25" customHeight="1">
      <c r="A21" s="12"/>
      <c r="B21" s="12"/>
      <c r="C21" s="5" t="s">
        <v>392</v>
      </c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1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30" customHeight="1">
      <c r="A24" s="400" t="s">
        <v>382</v>
      </c>
      <c r="B24" s="401" t="s">
        <v>393</v>
      </c>
      <c r="C24" s="402"/>
      <c r="D24" s="393" t="s">
        <v>394</v>
      </c>
      <c r="E24" s="393"/>
      <c r="F24" s="393" t="s">
        <v>395</v>
      </c>
      <c r="G24" s="393"/>
      <c r="H24" s="393" t="s">
        <v>396</v>
      </c>
      <c r="I24" s="393"/>
      <c r="J24" s="393" t="s">
        <v>397</v>
      </c>
      <c r="K24" s="393"/>
      <c r="L24" s="393" t="s">
        <v>31</v>
      </c>
      <c r="M24" s="393"/>
      <c r="N24" s="393"/>
      <c r="O24" s="393"/>
      <c r="P24" s="393"/>
      <c r="Q24" s="393"/>
      <c r="R24" s="393"/>
      <c r="S24" s="393"/>
      <c r="T24" s="393"/>
      <c r="U24" s="393"/>
      <c r="V24" s="407" t="s">
        <v>398</v>
      </c>
      <c r="W24" s="407"/>
      <c r="X24" s="407"/>
      <c r="Y24" s="407"/>
      <c r="Z24" s="407"/>
      <c r="AA24" s="407" t="s">
        <v>399</v>
      </c>
      <c r="AB24" s="407"/>
      <c r="AC24" s="407"/>
      <c r="AD24" s="407"/>
      <c r="AE24" s="407"/>
      <c r="AF24" s="407"/>
    </row>
    <row r="25" spans="1:32" ht="31.5" customHeight="1">
      <c r="A25" s="400"/>
      <c r="B25" s="403"/>
      <c r="C25" s="404"/>
      <c r="D25" s="393"/>
      <c r="E25" s="393"/>
      <c r="F25" s="393"/>
      <c r="G25" s="393"/>
      <c r="H25" s="393"/>
      <c r="I25" s="393"/>
      <c r="J25" s="393"/>
      <c r="K25" s="393"/>
      <c r="L25" s="393" t="s">
        <v>400</v>
      </c>
      <c r="M25" s="393"/>
      <c r="N25" s="393" t="s">
        <v>401</v>
      </c>
      <c r="O25" s="393"/>
      <c r="P25" s="393" t="s">
        <v>402</v>
      </c>
      <c r="Q25" s="393"/>
      <c r="R25" s="393"/>
      <c r="S25" s="393"/>
      <c r="T25" s="393"/>
      <c r="U25" s="393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</row>
    <row r="26" spans="1:32" ht="114.75" customHeight="1">
      <c r="A26" s="400"/>
      <c r="B26" s="405"/>
      <c r="C26" s="406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 t="s">
        <v>403</v>
      </c>
      <c r="Q26" s="393"/>
      <c r="R26" s="393" t="s">
        <v>404</v>
      </c>
      <c r="S26" s="393"/>
      <c r="T26" s="393" t="s">
        <v>405</v>
      </c>
      <c r="U26" s="393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</row>
    <row r="27" spans="1:32" ht="21.75" customHeight="1">
      <c r="A27" s="233">
        <v>1</v>
      </c>
      <c r="B27" s="398">
        <v>2</v>
      </c>
      <c r="C27" s="399"/>
      <c r="D27" s="393">
        <v>3</v>
      </c>
      <c r="E27" s="393"/>
      <c r="F27" s="393">
        <v>4</v>
      </c>
      <c r="G27" s="393"/>
      <c r="H27" s="393">
        <v>5</v>
      </c>
      <c r="I27" s="393"/>
      <c r="J27" s="393">
        <v>6</v>
      </c>
      <c r="K27" s="393"/>
      <c r="L27" s="398">
        <v>7</v>
      </c>
      <c r="M27" s="399"/>
      <c r="N27" s="398">
        <v>8</v>
      </c>
      <c r="O27" s="399"/>
      <c r="P27" s="393">
        <v>9</v>
      </c>
      <c r="Q27" s="393"/>
      <c r="R27" s="400">
        <v>10</v>
      </c>
      <c r="S27" s="400"/>
      <c r="T27" s="393">
        <v>11</v>
      </c>
      <c r="U27" s="393"/>
      <c r="V27" s="393">
        <v>12</v>
      </c>
      <c r="W27" s="393"/>
      <c r="X27" s="393"/>
      <c r="Y27" s="393"/>
      <c r="Z27" s="393"/>
      <c r="AA27" s="393">
        <v>13</v>
      </c>
      <c r="AB27" s="393"/>
      <c r="AC27" s="393"/>
      <c r="AD27" s="393"/>
      <c r="AE27" s="393"/>
      <c r="AF27" s="393"/>
    </row>
    <row r="28" spans="1:32" ht="21.75" customHeight="1">
      <c r="A28" s="132"/>
      <c r="B28" s="391"/>
      <c r="C28" s="392"/>
      <c r="D28" s="393"/>
      <c r="E28" s="393"/>
      <c r="F28" s="388"/>
      <c r="G28" s="388"/>
      <c r="H28" s="388"/>
      <c r="I28" s="388"/>
      <c r="J28" s="388"/>
      <c r="K28" s="388"/>
      <c r="L28" s="394"/>
      <c r="M28" s="395"/>
      <c r="N28" s="396">
        <f>SUM(P28,R28,T28)</f>
        <v>0</v>
      </c>
      <c r="O28" s="397"/>
      <c r="P28" s="388"/>
      <c r="Q28" s="388"/>
      <c r="R28" s="388"/>
      <c r="S28" s="388"/>
      <c r="T28" s="388"/>
      <c r="U28" s="388"/>
      <c r="V28" s="389"/>
      <c r="W28" s="389"/>
      <c r="X28" s="389"/>
      <c r="Y28" s="389"/>
      <c r="Z28" s="389"/>
      <c r="AA28" s="390"/>
      <c r="AB28" s="390"/>
      <c r="AC28" s="390"/>
      <c r="AD28" s="390"/>
      <c r="AE28" s="390"/>
      <c r="AF28" s="390"/>
    </row>
    <row r="29" spans="1:32" ht="21.75" customHeight="1">
      <c r="A29" s="132"/>
      <c r="B29" s="391"/>
      <c r="C29" s="392"/>
      <c r="D29" s="393"/>
      <c r="E29" s="393"/>
      <c r="F29" s="388"/>
      <c r="G29" s="388"/>
      <c r="H29" s="388"/>
      <c r="I29" s="388"/>
      <c r="J29" s="388"/>
      <c r="K29" s="388"/>
      <c r="L29" s="394"/>
      <c r="M29" s="395"/>
      <c r="N29" s="396">
        <f t="shared" ref="N29:N34" si="12">SUM(P29,R29,T29)</f>
        <v>0</v>
      </c>
      <c r="O29" s="397"/>
      <c r="P29" s="388"/>
      <c r="Q29" s="388"/>
      <c r="R29" s="388"/>
      <c r="S29" s="388"/>
      <c r="T29" s="388"/>
      <c r="U29" s="388"/>
      <c r="V29" s="389"/>
      <c r="W29" s="389"/>
      <c r="X29" s="389"/>
      <c r="Y29" s="389"/>
      <c r="Z29" s="389"/>
      <c r="AA29" s="390"/>
      <c r="AB29" s="390"/>
      <c r="AC29" s="390"/>
      <c r="AD29" s="390"/>
      <c r="AE29" s="390"/>
      <c r="AF29" s="390"/>
    </row>
    <row r="30" spans="1:32" ht="21.75" customHeight="1">
      <c r="A30" s="132"/>
      <c r="B30" s="391"/>
      <c r="C30" s="392"/>
      <c r="D30" s="393"/>
      <c r="E30" s="393"/>
      <c r="F30" s="388"/>
      <c r="G30" s="388"/>
      <c r="H30" s="388"/>
      <c r="I30" s="388"/>
      <c r="J30" s="388"/>
      <c r="K30" s="388"/>
      <c r="L30" s="394"/>
      <c r="M30" s="395"/>
      <c r="N30" s="396">
        <f t="shared" si="12"/>
        <v>0</v>
      </c>
      <c r="O30" s="397"/>
      <c r="P30" s="388"/>
      <c r="Q30" s="388"/>
      <c r="R30" s="388"/>
      <c r="S30" s="388"/>
      <c r="T30" s="388"/>
      <c r="U30" s="388"/>
      <c r="V30" s="389"/>
      <c r="W30" s="389"/>
      <c r="X30" s="389"/>
      <c r="Y30" s="389"/>
      <c r="Z30" s="389"/>
      <c r="AA30" s="390"/>
      <c r="AB30" s="390"/>
      <c r="AC30" s="390"/>
      <c r="AD30" s="390"/>
      <c r="AE30" s="390"/>
      <c r="AF30" s="390"/>
    </row>
    <row r="31" spans="1:32" ht="20.25" customHeight="1">
      <c r="A31" s="132"/>
      <c r="B31" s="391"/>
      <c r="C31" s="392"/>
      <c r="D31" s="393"/>
      <c r="E31" s="393"/>
      <c r="F31" s="388"/>
      <c r="G31" s="388"/>
      <c r="H31" s="388"/>
      <c r="I31" s="388"/>
      <c r="J31" s="388"/>
      <c r="K31" s="388"/>
      <c r="L31" s="394"/>
      <c r="M31" s="395"/>
      <c r="N31" s="396">
        <f t="shared" si="12"/>
        <v>0</v>
      </c>
      <c r="O31" s="397"/>
      <c r="P31" s="388"/>
      <c r="Q31" s="388"/>
      <c r="R31" s="388"/>
      <c r="S31" s="388"/>
      <c r="T31" s="388"/>
      <c r="U31" s="388"/>
      <c r="V31" s="389"/>
      <c r="W31" s="389"/>
      <c r="X31" s="389"/>
      <c r="Y31" s="389"/>
      <c r="Z31" s="389"/>
      <c r="AA31" s="390"/>
      <c r="AB31" s="390"/>
      <c r="AC31" s="390"/>
      <c r="AD31" s="390"/>
      <c r="AE31" s="390"/>
      <c r="AF31" s="390"/>
    </row>
    <row r="32" spans="1:32" ht="20.25" customHeight="1">
      <c r="A32" s="132"/>
      <c r="B32" s="391"/>
      <c r="C32" s="392"/>
      <c r="D32" s="393"/>
      <c r="E32" s="393"/>
      <c r="F32" s="388"/>
      <c r="G32" s="388"/>
      <c r="H32" s="388"/>
      <c r="I32" s="388"/>
      <c r="J32" s="388"/>
      <c r="K32" s="388"/>
      <c r="L32" s="394"/>
      <c r="M32" s="395"/>
      <c r="N32" s="396">
        <f t="shared" si="12"/>
        <v>0</v>
      </c>
      <c r="O32" s="397"/>
      <c r="P32" s="388"/>
      <c r="Q32" s="388"/>
      <c r="R32" s="388"/>
      <c r="S32" s="388"/>
      <c r="T32" s="388"/>
      <c r="U32" s="388"/>
      <c r="V32" s="389"/>
      <c r="W32" s="389"/>
      <c r="X32" s="389"/>
      <c r="Y32" s="389"/>
      <c r="Z32" s="389"/>
      <c r="AA32" s="390"/>
      <c r="AB32" s="390"/>
      <c r="AC32" s="390"/>
      <c r="AD32" s="390"/>
      <c r="AE32" s="390"/>
      <c r="AF32" s="390"/>
    </row>
    <row r="33" spans="1:32" ht="20.25" customHeight="1">
      <c r="A33" s="132"/>
      <c r="B33" s="391"/>
      <c r="C33" s="392"/>
      <c r="D33" s="393"/>
      <c r="E33" s="393"/>
      <c r="F33" s="388"/>
      <c r="G33" s="388"/>
      <c r="H33" s="388"/>
      <c r="I33" s="388"/>
      <c r="J33" s="388"/>
      <c r="K33" s="388"/>
      <c r="L33" s="394"/>
      <c r="M33" s="395"/>
      <c r="N33" s="396">
        <f t="shared" si="12"/>
        <v>0</v>
      </c>
      <c r="O33" s="397"/>
      <c r="P33" s="388"/>
      <c r="Q33" s="388"/>
      <c r="R33" s="388"/>
      <c r="S33" s="388"/>
      <c r="T33" s="388"/>
      <c r="U33" s="388"/>
      <c r="V33" s="389"/>
      <c r="W33" s="389"/>
      <c r="X33" s="389"/>
      <c r="Y33" s="389"/>
      <c r="Z33" s="389"/>
      <c r="AA33" s="390"/>
      <c r="AB33" s="390"/>
      <c r="AC33" s="390"/>
      <c r="AD33" s="390"/>
      <c r="AE33" s="390"/>
      <c r="AF33" s="390"/>
    </row>
    <row r="34" spans="1:32" ht="20.25" customHeight="1">
      <c r="A34" s="132"/>
      <c r="B34" s="391"/>
      <c r="C34" s="392"/>
      <c r="D34" s="393"/>
      <c r="E34" s="393"/>
      <c r="F34" s="388"/>
      <c r="G34" s="388"/>
      <c r="H34" s="388"/>
      <c r="I34" s="388"/>
      <c r="J34" s="388"/>
      <c r="K34" s="388"/>
      <c r="L34" s="394"/>
      <c r="M34" s="395"/>
      <c r="N34" s="396">
        <f t="shared" si="12"/>
        <v>0</v>
      </c>
      <c r="O34" s="397"/>
      <c r="P34" s="388"/>
      <c r="Q34" s="388"/>
      <c r="R34" s="388"/>
      <c r="S34" s="388"/>
      <c r="T34" s="388"/>
      <c r="U34" s="388"/>
      <c r="V34" s="389"/>
      <c r="W34" s="389"/>
      <c r="X34" s="389"/>
      <c r="Y34" s="389"/>
      <c r="Z34" s="389"/>
      <c r="AA34" s="390"/>
      <c r="AB34" s="390"/>
      <c r="AC34" s="390"/>
      <c r="AD34" s="390"/>
      <c r="AE34" s="390"/>
      <c r="AF34" s="390"/>
    </row>
    <row r="35" spans="1:32" ht="20.25" customHeight="1">
      <c r="A35" s="369" t="s">
        <v>173</v>
      </c>
      <c r="B35" s="370"/>
      <c r="C35" s="370"/>
      <c r="D35" s="370"/>
      <c r="E35" s="371"/>
      <c r="F35" s="372">
        <f>SUM(F28:F34)</f>
        <v>0</v>
      </c>
      <c r="G35" s="372"/>
      <c r="H35" s="372">
        <f>SUM(H28:H34)</f>
        <v>0</v>
      </c>
      <c r="I35" s="372"/>
      <c r="J35" s="372">
        <f>SUM(J28:J34)</f>
        <v>0</v>
      </c>
      <c r="K35" s="372"/>
      <c r="L35" s="372">
        <f>SUM(L28:L34)</f>
        <v>0</v>
      </c>
      <c r="M35" s="372"/>
      <c r="N35" s="372">
        <f>SUM(N28:N34)</f>
        <v>0</v>
      </c>
      <c r="O35" s="372"/>
      <c r="P35" s="372">
        <f>SUM(P28:P34)</f>
        <v>0</v>
      </c>
      <c r="Q35" s="372"/>
      <c r="R35" s="372">
        <f>SUM(R28:R34)</f>
        <v>0</v>
      </c>
      <c r="S35" s="372"/>
      <c r="T35" s="372">
        <f>SUM(T28:T34)</f>
        <v>0</v>
      </c>
      <c r="U35" s="372"/>
      <c r="V35" s="368"/>
      <c r="W35" s="368"/>
      <c r="X35" s="368"/>
      <c r="Y35" s="368"/>
      <c r="Z35" s="368"/>
      <c r="AA35" s="387"/>
      <c r="AB35" s="387"/>
      <c r="AC35" s="387"/>
      <c r="AD35" s="387"/>
      <c r="AE35" s="387"/>
      <c r="AF35" s="387"/>
    </row>
    <row r="36" spans="1:32" ht="20.25" customHeight="1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15" customHeight="1">
      <c r="A39" s="12"/>
      <c r="B39" s="325" t="s">
        <v>412</v>
      </c>
      <c r="C39" s="325"/>
      <c r="D39" s="325"/>
      <c r="E39" s="325"/>
      <c r="F39" s="325"/>
      <c r="G39" s="325"/>
      <c r="H39" s="13"/>
      <c r="I39" s="13"/>
      <c r="J39" s="360" t="s">
        <v>406</v>
      </c>
      <c r="K39" s="360"/>
      <c r="L39" s="360"/>
      <c r="M39" s="360"/>
      <c r="N39" s="360"/>
      <c r="O39" s="13"/>
      <c r="P39" s="13"/>
      <c r="Q39" s="13"/>
      <c r="R39" s="13"/>
      <c r="S39" s="13"/>
      <c r="T39" s="268" t="s">
        <v>406</v>
      </c>
      <c r="U39" s="268"/>
      <c r="V39" s="268"/>
      <c r="W39" s="268"/>
      <c r="X39" s="268"/>
    </row>
    <row r="40" spans="1:32" s="4" customFormat="1">
      <c r="A40" s="206"/>
      <c r="B40" s="288" t="s">
        <v>407</v>
      </c>
      <c r="C40" s="288"/>
      <c r="D40" s="288"/>
      <c r="E40" s="288"/>
      <c r="F40" s="288"/>
      <c r="G40" s="288"/>
      <c r="H40" s="210"/>
      <c r="I40" s="210"/>
      <c r="J40" s="288" t="s">
        <v>155</v>
      </c>
      <c r="K40" s="288"/>
      <c r="L40" s="288"/>
      <c r="M40" s="288"/>
      <c r="N40" s="288"/>
      <c r="O40" s="206"/>
      <c r="P40" s="206"/>
      <c r="Q40" s="206"/>
      <c r="R40" s="206"/>
      <c r="S40" s="2"/>
      <c r="T40" s="288" t="s">
        <v>413</v>
      </c>
      <c r="U40" s="288"/>
      <c r="V40" s="288"/>
      <c r="W40" s="288"/>
      <c r="X40" s="288"/>
      <c r="Y40" s="206"/>
      <c r="Z40" s="206"/>
      <c r="AA40" s="206"/>
      <c r="AB40" s="206"/>
      <c r="AC40" s="206"/>
      <c r="AD40" s="206"/>
      <c r="AE40" s="206"/>
      <c r="AF40" s="206"/>
    </row>
    <row r="41" spans="1:32" s="20" customFormat="1" ht="16.5" customHeight="1">
      <c r="C41" s="49"/>
      <c r="D41" s="41"/>
      <c r="E41" s="41"/>
      <c r="F41" s="40"/>
      <c r="G41" s="40"/>
      <c r="H41" s="40"/>
      <c r="I41" s="40"/>
      <c r="J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32" s="4" customFormat="1">
      <c r="A42" s="206"/>
      <c r="B42" s="206"/>
      <c r="C42" s="206"/>
      <c r="D42" s="206"/>
      <c r="E42" s="206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6"/>
      <c r="Z42" s="206"/>
      <c r="AA42" s="206"/>
      <c r="AB42" s="206"/>
      <c r="AC42" s="206"/>
      <c r="AD42" s="206"/>
      <c r="AE42" s="206"/>
      <c r="AF42" s="206"/>
    </row>
    <row r="43" spans="1:32">
      <c r="C43" s="21"/>
      <c r="D43" s="21"/>
      <c r="E43" s="21"/>
      <c r="F43" s="21"/>
      <c r="G43" s="21"/>
      <c r="H43" s="21"/>
      <c r="I43" s="50"/>
      <c r="J43" s="50"/>
      <c r="K43" s="50"/>
      <c r="L43" s="50"/>
      <c r="M43" s="50"/>
      <c r="N43" s="50"/>
      <c r="O43" s="50"/>
      <c r="P43" s="50"/>
      <c r="Q43" s="50"/>
      <c r="R43" s="21"/>
      <c r="S43" s="21"/>
    </row>
    <row r="44" spans="1:32">
      <c r="C44" s="21"/>
      <c r="D44" s="21"/>
      <c r="E44" s="21"/>
      <c r="F44" s="21"/>
      <c r="G44" s="21"/>
      <c r="H44" s="21"/>
      <c r="I44" s="21"/>
      <c r="J44" s="21"/>
      <c r="K44" s="21"/>
      <c r="L44" s="50"/>
      <c r="M44" s="50"/>
      <c r="N44" s="50"/>
      <c r="O44" s="50"/>
      <c r="P44" s="50"/>
      <c r="Q44" s="50"/>
      <c r="R44" s="50"/>
      <c r="S44" s="50"/>
      <c r="T44" s="229"/>
      <c r="U44" s="229"/>
      <c r="V44" s="229"/>
      <c r="W44" s="229"/>
    </row>
    <row r="45" spans="1:32" ht="19.5" thickBot="1">
      <c r="C45" s="21"/>
      <c r="D45" s="21"/>
      <c r="E45" s="21"/>
      <c r="F45" s="21"/>
      <c r="G45" s="21"/>
      <c r="H45" s="21"/>
      <c r="I45" s="21"/>
      <c r="J45" s="21"/>
      <c r="K45" s="21"/>
      <c r="L45" s="172"/>
      <c r="M45" s="172"/>
      <c r="N45" s="172"/>
      <c r="O45" s="172"/>
      <c r="P45" s="172"/>
      <c r="Q45" s="172"/>
      <c r="R45" s="172"/>
      <c r="S45" s="172"/>
      <c r="T45" s="173"/>
      <c r="U45" s="173"/>
      <c r="V45" s="173"/>
      <c r="W45" s="173"/>
    </row>
    <row r="46" spans="1:32">
      <c r="C46" s="22"/>
    </row>
    <row r="49" spans="3:3" ht="19.5">
      <c r="C49" s="23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'І. Інф. до звіт.'!Область_печати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Пользователь</cp:lastModifiedBy>
  <cp:revision/>
  <cp:lastPrinted>2026-03-05T10:53:15Z</cp:lastPrinted>
  <dcterms:created xsi:type="dcterms:W3CDTF">2003-03-13T16:00:22Z</dcterms:created>
  <dcterms:modified xsi:type="dcterms:W3CDTF">2026-03-11T09:36:42Z</dcterms:modified>
  <cp:category/>
  <cp:contentStatus/>
</cp:coreProperties>
</file>